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vents" sheetId="1" state="visible" r:id="rId3"/>
    <sheet name="Weekly Summary" sheetId="2" state="visible" r:id="rId4"/>
    <sheet name="2026 Projection" sheetId="3" state="visible" r:id="rId5"/>
    <sheet name="Data Gaps &amp; Assumptions" sheetId="4" state="visible" r:id="rId6"/>
    <sheet name="Weather (Historical)" sheetId="5" state="visible" r:id="rId7"/>
    <sheet name="2026 Weather Projectio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<sst xmlns="http://schemas.openxmlformats.org/spreadsheetml/2006/main" count="2565" uniqueCount="494">
  <si>
    <t xml:space="preserve">Date</t>
  </si>
  <si>
    <t xml:space="preserve">ISO Year</t>
  </si>
  <si>
    <t xml:space="preserve">ISO Week</t>
  </si>
  <si>
    <t xml:space="preserve">ISO Year-Week</t>
  </si>
  <si>
    <t xml:space="preserve">Day of Week</t>
  </si>
  <si>
    <t xml:space="preserve">Event</t>
  </si>
  <si>
    <t xml:space="preserve">Category</t>
  </si>
  <si>
    <t xml:space="preserve">Venue</t>
  </si>
  <si>
    <t xml:space="preserve">Area</t>
  </si>
  <si>
    <t xml:space="preserve">Track</t>
  </si>
  <si>
    <t xml:space="preserve">Est. Attendance</t>
  </si>
  <si>
    <t xml:space="preserve">Status</t>
  </si>
  <si>
    <t xml:space="preserve">Notes</t>
  </si>
  <si>
    <t xml:space="preserve">Source</t>
  </si>
  <si>
    <t xml:space="preserve">2024-W08</t>
  </si>
  <si>
    <t xml:space="preserve">Saturday</t>
  </si>
  <si>
    <t xml:space="preserve">Columbus Crew vs Atlanta United FC</t>
  </si>
  <si>
    <t xml:space="preserve">Sports - MLS</t>
  </si>
  <si>
    <t xml:space="preserve">Lower.com Field</t>
  </si>
  <si>
    <t xml:space="preserve">Arena District</t>
  </si>
  <si>
    <t xml:space="preserve">Ops</t>
  </si>
  <si>
    <t xml:space="preserve">Played</t>
  </si>
  <si>
    <t xml:space="preserve">en.wikipedia.org/wiki/2024_Columbus_Crew_season</t>
  </si>
  <si>
    <t xml:space="preserve">2024-W09</t>
  </si>
  <si>
    <t xml:space="preserve">Thursday</t>
  </si>
  <si>
    <t xml:space="preserve">Arnold Sports Festival (Feb 29-Mar 03)</t>
  </si>
  <si>
    <t xml:space="preserve">Convention/Festival</t>
  </si>
  <si>
    <t xml:space="preserve">Greater Columbus Convention Center + downtown</t>
  </si>
  <si>
    <t xml:space="preserve">Sys</t>
  </si>
  <si>
    <t xml:space="preserve">10TV</t>
  </si>
  <si>
    <t xml:space="preserve">2024-W10</t>
  </si>
  <si>
    <t xml:space="preserve">Columbus Crew vs Chicago Fire FC</t>
  </si>
  <si>
    <t xml:space="preserve">2024-W11</t>
  </si>
  <si>
    <t xml:space="preserve">Columbus Crew vs Red Bull New York</t>
  </si>
  <si>
    <t xml:space="preserve">2024-W14</t>
  </si>
  <si>
    <t xml:space="preserve">Tuesday</t>
  </si>
  <si>
    <t xml:space="preserve">Clippers homestand vs Omaha (start of 6-game series)</t>
  </si>
  <si>
    <t xml:space="preserve">Sports - MiLB (homestand)</t>
  </si>
  <si>
    <t xml:space="preserve">Huntington Park</t>
  </si>
  <si>
    <t xml:space="preserve">Homestand of ~6 games begins this date; individual game dates not itemized (source did not publish a clean list)</t>
  </si>
  <si>
    <t xml:space="preserve">milb.com/columbus/schedule</t>
  </si>
  <si>
    <t xml:space="preserve">Columbus Crew vs D.C. United</t>
  </si>
  <si>
    <t xml:space="preserve">2024-W16</t>
  </si>
  <si>
    <t xml:space="preserve">Clippers homestand vs Buffalo (start of 6-game series)</t>
  </si>
  <si>
    <t xml:space="preserve">Columbus Crew vs Portland Timbers</t>
  </si>
  <si>
    <t xml:space="preserve">2024-W17</t>
  </si>
  <si>
    <t xml:space="preserve">Columbus Crew vs CF Montreal</t>
  </si>
  <si>
    <t xml:space="preserve">2024-W18</t>
  </si>
  <si>
    <t xml:space="preserve">Clippers homestand vs Toledo (start of 6-game series)</t>
  </si>
  <si>
    <t xml:space="preserve">2024-W19</t>
  </si>
  <si>
    <t xml:space="preserve">Columbus Crew vs FC Cincinnati (Hell is Real)</t>
  </si>
  <si>
    <t xml:space="preserve">2024-W20</t>
  </si>
  <si>
    <t xml:space="preserve">Clippers homestand vs Louisville (start of 6-game series)</t>
  </si>
  <si>
    <t xml:space="preserve">2024-W22</t>
  </si>
  <si>
    <t xml:space="preserve">Clippers homestand vs Lehigh Valley (start of 6-game series)</t>
  </si>
  <si>
    <t xml:space="preserve">2024-W24</t>
  </si>
  <si>
    <t xml:space="preserve">Clippers homestand vs Iowa (start of 6-game series)</t>
  </si>
  <si>
    <t xml:space="preserve">Friday</t>
  </si>
  <si>
    <t xml:space="preserve">Stonewall Columbus Pride Festival/March (Jun 14-Jun 15)</t>
  </si>
  <si>
    <t xml:space="preserve">Festival</t>
  </si>
  <si>
    <t xml:space="preserve">Downtown Columbus</t>
  </si>
  <si>
    <t xml:space="preserve">Columbus Underground</t>
  </si>
  <si>
    <t xml:space="preserve">2024-W25</t>
  </si>
  <si>
    <t xml:space="preserve">Wednesday</t>
  </si>
  <si>
    <t xml:space="preserve">Origins Game Fair (Jun 19-Jun 23)</t>
  </si>
  <si>
    <t xml:space="preserve">Convention</t>
  </si>
  <si>
    <t xml:space="preserve">Greater Columbus Convention Center</t>
  </si>
  <si>
    <t xml:space="preserve">FanCons</t>
  </si>
  <si>
    <t xml:space="preserve">Columbus Crew vs Sporting Kansas City</t>
  </si>
  <si>
    <t xml:space="preserve">2024-W26</t>
  </si>
  <si>
    <t xml:space="preserve">Comfest (Community Festival) (Jun 28-Jun 30)</t>
  </si>
  <si>
    <t xml:space="preserve">Goodale Park / Short North</t>
  </si>
  <si>
    <t xml:space="preserve">2024-W27</t>
  </si>
  <si>
    <t xml:space="preserve">Red White &amp; BOOM!</t>
  </si>
  <si>
    <t xml:space="preserve">NBC4 / Downtown Columbus</t>
  </si>
  <si>
    <t xml:space="preserve">Columbus Crew vs Nashville SC</t>
  </si>
  <si>
    <t xml:space="preserve">Clippers homestand vs Toledo (start of 3-game series)</t>
  </si>
  <si>
    <t xml:space="preserve">Homestand of ~3 games begins this date; individual game dates not itemized (source did not publish a clean list)</t>
  </si>
  <si>
    <t xml:space="preserve">Doo Dah Parade</t>
  </si>
  <si>
    <t xml:space="preserve">Festival/Parade</t>
  </si>
  <si>
    <t xml:space="preserve">Short North Arts District</t>
  </si>
  <si>
    <t xml:space="preserve">Columbus on the Cheap</t>
  </si>
  <si>
    <t xml:space="preserve">Columbus Crew vs Toronto FC</t>
  </si>
  <si>
    <t xml:space="preserve">2024-W29</t>
  </si>
  <si>
    <t xml:space="preserve">Columbus Crew vs Charlotte FC</t>
  </si>
  <si>
    <t xml:space="preserve">Chris Stapleton - All-American Road Show</t>
  </si>
  <si>
    <t xml:space="preserve">Concert</t>
  </si>
  <si>
    <t xml:space="preserve">Schottenstein Center</t>
  </si>
  <si>
    <t xml:space="preserve">Arena-level, ~19,000 cap venue</t>
  </si>
  <si>
    <t xml:space="preserve">Songkick / 10TV</t>
  </si>
  <si>
    <t xml:space="preserve">2024-W30</t>
  </si>
  <si>
    <t xml:space="preserve">Clippers homestand vs Memphis (start of 6-game series)</t>
  </si>
  <si>
    <t xml:space="preserve">Ohio State Fair (Jul 24-Aug 04)</t>
  </si>
  <si>
    <t xml:space="preserve">Ohio Expo Center</t>
  </si>
  <si>
    <t xml:space="preserve">Typical historical range, not an exact confirmed count</t>
  </si>
  <si>
    <t xml:space="preserve">2024-W31</t>
  </si>
  <si>
    <t xml:space="preserve">Clippers homestand vs Syracuse (start of 6-game series)</t>
  </si>
  <si>
    <t xml:space="preserve">2024-W34</t>
  </si>
  <si>
    <t xml:space="preserve">Clippers homestand vs Indianapolis (start of 6-game series)</t>
  </si>
  <si>
    <t xml:space="preserve">2024-W35</t>
  </si>
  <si>
    <t xml:space="preserve">Ohio State Football vs Akron</t>
  </si>
  <si>
    <t xml:space="preserve">Sports - College Football</t>
  </si>
  <si>
    <t xml:space="preserve">Ohio Stadium</t>
  </si>
  <si>
    <t xml:space="preserve">University District</t>
  </si>
  <si>
    <t xml:space="preserve">Attendance = scanned-ticket count per Dispatch audit where OSU announced figure differed</t>
  </si>
  <si>
    <t xml:space="preserve">ohiostatebuckeyes.com schedule; Columbus Dispatch attendance audit</t>
  </si>
  <si>
    <t xml:space="preserve">Columbus Crew vs New York City FC</t>
  </si>
  <si>
    <t xml:space="preserve">2024-W36</t>
  </si>
  <si>
    <t xml:space="preserve">Monday</t>
  </si>
  <si>
    <t xml:space="preserve">Clippers homestand vs Durham (start of 7-game series)</t>
  </si>
  <si>
    <t xml:space="preserve">Homestand of ~7 games begins this date; individual game dates not itemized (source did not publish a clean list)</t>
  </si>
  <si>
    <t xml:space="preserve">Ohio State Football vs Western Michigan</t>
  </si>
  <si>
    <t xml:space="preserve">Columbus Crew vs Seattle Sounders FC</t>
  </si>
  <si>
    <t xml:space="preserve">2024-W37</t>
  </si>
  <si>
    <t xml:space="preserve">Clippers homestand vs St. Paul (start of 6-game series)</t>
  </si>
  <si>
    <t xml:space="preserve">2024-W38</t>
  </si>
  <si>
    <t xml:space="preserve">Ohio State Football vs Marshall</t>
  </si>
  <si>
    <t xml:space="preserve">Columbus Crew vs Orlando City SC</t>
  </si>
  <si>
    <t xml:space="preserve">2024-W40</t>
  </si>
  <si>
    <t xml:space="preserve">Columbus Crew vs Inter Miami CF</t>
  </si>
  <si>
    <t xml:space="preserve">Ohio State Football vs Iowa</t>
  </si>
  <si>
    <t xml:space="preserve">Columbus Crew vs Philadelphia Union</t>
  </si>
  <si>
    <t xml:space="preserve">2024-W41</t>
  </si>
  <si>
    <t xml:space="preserve">Columbus Crew vs New England Revolution</t>
  </si>
  <si>
    <t xml:space="preserve">2024-W42</t>
  </si>
  <si>
    <t xml:space="preserve">Blue Jackets vs Florida Panthers</t>
  </si>
  <si>
    <t xml:space="preserve">Sports - NHL</t>
  </si>
  <si>
    <t xml:space="preserve">Nationwide Arena</t>
  </si>
  <si>
    <t xml:space="preserve">hockey-reference.com/teams/CBJ</t>
  </si>
  <si>
    <t xml:space="preserve">Blue Jackets vs Buffalo Sabres</t>
  </si>
  <si>
    <t xml:space="preserve">Blue Jackets vs Minnesota Wild</t>
  </si>
  <si>
    <t xml:space="preserve">Sunday</t>
  </si>
  <si>
    <t xml:space="preserve">Columbus Marathon / Half Marathon</t>
  </si>
  <si>
    <t xml:space="preserve">Race</t>
  </si>
  <si>
    <t xml:space="preserve">MTEC Results</t>
  </si>
  <si>
    <t xml:space="preserve">2024-W43</t>
  </si>
  <si>
    <t xml:space="preserve">Blue Jackets vs Toronto Maple Leafs</t>
  </si>
  <si>
    <t xml:space="preserve">Ohio State Football vs Nebraska</t>
  </si>
  <si>
    <t xml:space="preserve">2024-W44</t>
  </si>
  <si>
    <t xml:space="preserve">Blue Jackets vs Edmonton Oilers</t>
  </si>
  <si>
    <t xml:space="preserve">Blue Jackets vs New York Islanders</t>
  </si>
  <si>
    <t xml:space="preserve">Blue Jackets vs Winnipeg Jets</t>
  </si>
  <si>
    <t xml:space="preserve">2024-W45</t>
  </si>
  <si>
    <t xml:space="preserve">Ohio State Football vs Purdue</t>
  </si>
  <si>
    <t xml:space="preserve">2024-W46</t>
  </si>
  <si>
    <t xml:space="preserve">Blue Jackets vs Pittsburgh Penguins</t>
  </si>
  <si>
    <t xml:space="preserve">2024-W47</t>
  </si>
  <si>
    <t xml:space="preserve">Blue Jackets vs Tampa Bay Lightning</t>
  </si>
  <si>
    <t xml:space="preserve">Ohio State Football vs Indiana</t>
  </si>
  <si>
    <t xml:space="preserve">Blue Jackets vs Carolina Hurricanes</t>
  </si>
  <si>
    <t xml:space="preserve">2024-W48</t>
  </si>
  <si>
    <t xml:space="preserve">Blue Jackets vs Montreal Canadiens</t>
  </si>
  <si>
    <t xml:space="preserve">Blue Jackets vs Calgary Flames</t>
  </si>
  <si>
    <t xml:space="preserve">Ohio State Football vs Michigan</t>
  </si>
  <si>
    <t xml:space="preserve">2024-W49</t>
  </si>
  <si>
    <t xml:space="preserve">GalaxyCon Columbus (Dec 06-Dec 08)</t>
  </si>
  <si>
    <t xml:space="preserve">Eventeny / FanCons</t>
  </si>
  <si>
    <t xml:space="preserve">2024-W50</t>
  </si>
  <si>
    <t xml:space="preserve">Blue Jackets vs Philadelphia Flyers</t>
  </si>
  <si>
    <t xml:space="preserve">Blue Jackets vs Washington Capitals</t>
  </si>
  <si>
    <t xml:space="preserve">Blue Jackets vs Anaheim Ducks</t>
  </si>
  <si>
    <t xml:space="preserve">2024-W51</t>
  </si>
  <si>
    <t xml:space="preserve">Blue Jackets vs New Jersey Devils</t>
  </si>
  <si>
    <t xml:space="preserve">2024-W52</t>
  </si>
  <si>
    <t xml:space="preserve">Blue Jackets vs Boston Bruins</t>
  </si>
  <si>
    <t xml:space="preserve">2025-W01</t>
  </si>
  <si>
    <t xml:space="preserve">Blue Jackets vs Detroit Red Wings</t>
  </si>
  <si>
    <t xml:space="preserve">Blue Jackets vs St. Louis Blues</t>
  </si>
  <si>
    <t xml:space="preserve">2025-W02</t>
  </si>
  <si>
    <t xml:space="preserve">Blue Jackets vs Seattle Kraken</t>
  </si>
  <si>
    <t xml:space="preserve">2025-W03</t>
  </si>
  <si>
    <t xml:space="preserve">Blue Jackets vs San Jose Sharks</t>
  </si>
  <si>
    <t xml:space="preserve">2025-W04</t>
  </si>
  <si>
    <t xml:space="preserve">Blue Jackets vs Los Angeles Kings</t>
  </si>
  <si>
    <t xml:space="preserve">2025-W06</t>
  </si>
  <si>
    <t xml:space="preserve">Blue Jackets vs Utah Hockey Club</t>
  </si>
  <si>
    <t xml:space="preserve">Blue Jackets vs New York Rangers</t>
  </si>
  <si>
    <t xml:space="preserve">2025-W08</t>
  </si>
  <si>
    <t xml:space="preserve">Blue Jackets vs Chicago Blackhawks</t>
  </si>
  <si>
    <t xml:space="preserve">ScottsMiracle-Gro Field</t>
  </si>
  <si>
    <t xml:space="preserve">en.wikipedia.org/wiki/2025_Columbus_Crew_season</t>
  </si>
  <si>
    <t xml:space="preserve">2025-W09</t>
  </si>
  <si>
    <t xml:space="preserve">Blue Jackets vs Dallas Stars</t>
  </si>
  <si>
    <t xml:space="preserve">Arnold Sports Festival (Feb 27-Mar 02)</t>
  </si>
  <si>
    <t xml:space="preserve">10TV / Spectrum News</t>
  </si>
  <si>
    <t xml:space="preserve">Blue Jackets vs Red Wings (NHL Stadium Series)</t>
  </si>
  <si>
    <t xml:space="preserve">Sports - NHL Special Event</t>
  </si>
  <si>
    <t xml:space="preserve">Outdoor special event, NOT Nationwide Arena — do not merge into Arena District venue totals</t>
  </si>
  <si>
    <t xml:space="preserve">hockey-reference.com/teams/CBJ/2025_games.html</t>
  </si>
  <si>
    <t xml:space="preserve">2025-W10</t>
  </si>
  <si>
    <t xml:space="preserve">Columbus Crew vs Houston Dynamo FC</t>
  </si>
  <si>
    <t xml:space="preserve">2025-W11</t>
  </si>
  <si>
    <t xml:space="preserve">Blue Jackets vs Vegas Golden Knights</t>
  </si>
  <si>
    <t xml:space="preserve">2025-W12</t>
  </si>
  <si>
    <t xml:space="preserve">2025-W13</t>
  </si>
  <si>
    <t xml:space="preserve">Blue Jackets vs Vancouver Canucks</t>
  </si>
  <si>
    <t xml:space="preserve">2025-W14</t>
  </si>
  <si>
    <t xml:space="preserve">Blue Jackets vs Nashville Predators</t>
  </si>
  <si>
    <t xml:space="preserve">Clippers 2025 season begins (homestand detail not sourced)</t>
  </si>
  <si>
    <t xml:space="preserve">Sports - MiLB (season note)</t>
  </si>
  <si>
    <t xml:space="preserve">Estimated</t>
  </si>
  <si>
    <t xml:space="preserve">2025 season ran Apr 1 - Sep 21 2025, ~69-70 home games, standard biweekly homestand cadence; individual homestand dates not confirmed from a scrapeable source</t>
  </si>
  <si>
    <t xml:space="preserve">milb.com/columbus/schedule (2025)</t>
  </si>
  <si>
    <t xml:space="preserve">Blue Jackets vs Colorado Avalanche</t>
  </si>
  <si>
    <t xml:space="preserve">2025-W15</t>
  </si>
  <si>
    <t xml:space="preserve">Blue Jackets vs Ottawa Senators</t>
  </si>
  <si>
    <t xml:space="preserve">2025-W16</t>
  </si>
  <si>
    <t xml:space="preserve">Columbus Crew vs Inter Miami CF (relocated)</t>
  </si>
  <si>
    <t xml:space="preserve">Huntington Bank Field, Cleveland</t>
  </si>
  <si>
    <t xml:space="preserve">Cleveland (not Columbus)</t>
  </si>
  <si>
    <t xml:space="preserve">Home match relocated to Cleveland — exclude from Columbus venue totals</t>
  </si>
  <si>
    <t xml:space="preserve">2025-W17</t>
  </si>
  <si>
    <t xml:space="preserve">Columbus Crew vs San Jose Earthquakes</t>
  </si>
  <si>
    <t xml:space="preserve">2025-W18</t>
  </si>
  <si>
    <t xml:space="preserve">2025-W20</t>
  </si>
  <si>
    <t xml:space="preserve">Columbus Crew vs FC Cincinnati</t>
  </si>
  <si>
    <t xml:space="preserve">2025-W22</t>
  </si>
  <si>
    <t xml:space="preserve">2025-W24</t>
  </si>
  <si>
    <t xml:space="preserve">Columbus Crew vs Vancouver Whitecaps FC</t>
  </si>
  <si>
    <t xml:space="preserve">2025-W25</t>
  </si>
  <si>
    <t xml:space="preserve">Origins Game Fair (Jun 18-Jun 22)</t>
  </si>
  <si>
    <t xml:space="preserve">search summary — verify vs. official site</t>
  </si>
  <si>
    <t xml:space="preserve">Columbus Pride Parade &amp; Festival</t>
  </si>
  <si>
    <t xml:space="preserve">NBC4</t>
  </si>
  <si>
    <t xml:space="preserve">2025-W26</t>
  </si>
  <si>
    <t xml:space="preserve">Comfest (53rd Community Festival) (Jun 27-Jun 29)</t>
  </si>
  <si>
    <t xml:space="preserve">AllEvents / Comfest.com</t>
  </si>
  <si>
    <t xml:space="preserve">2025-W27</t>
  </si>
  <si>
    <t xml:space="preserve">2025-W29</t>
  </si>
  <si>
    <t xml:space="preserve">2025-W30</t>
  </si>
  <si>
    <t xml:space="preserve">Ohio State Fair (Jul 23-Aug 03)</t>
  </si>
  <si>
    <t xml:space="preserve">Yahoo</t>
  </si>
  <si>
    <t xml:space="preserve">2025-W32</t>
  </si>
  <si>
    <t xml:space="preserve">The Struts / Dirty Honey</t>
  </si>
  <si>
    <t xml:space="preserve">Newport Music Hall</t>
  </si>
  <si>
    <t xml:space="preserve">Club-level venue</t>
  </si>
  <si>
    <t xml:space="preserve">venue listing</t>
  </si>
  <si>
    <t xml:space="preserve">2025-W34</t>
  </si>
  <si>
    <t xml:space="preserve">2025-W35</t>
  </si>
  <si>
    <t xml:space="preserve">Ohio State Football vs Texas</t>
  </si>
  <si>
    <t xml:space="preserve">2025-W36</t>
  </si>
  <si>
    <t xml:space="preserve">Ohio State Football vs Grambling State</t>
  </si>
  <si>
    <t xml:space="preserve">2025-W37</t>
  </si>
  <si>
    <t xml:space="preserve">Ohio State Football vs Ohio</t>
  </si>
  <si>
    <t xml:space="preserve">2025-W38</t>
  </si>
  <si>
    <t xml:space="preserve">2025-W39</t>
  </si>
  <si>
    <t xml:space="preserve">NBA YoungBoy - MASA Tour</t>
  </si>
  <si>
    <t xml:space="preserve">search summary</t>
  </si>
  <si>
    <t xml:space="preserve">2025-W40</t>
  </si>
  <si>
    <t xml:space="preserve">Ohio State Football vs Minnesota</t>
  </si>
  <si>
    <t xml:space="preserve">2025-W42</t>
  </si>
  <si>
    <t xml:space="preserve">Columbus Marathon / Half Marathon (Oct 17-Oct 19)</t>
  </si>
  <si>
    <t xml:space="preserve">Axios Columbus / 10TV</t>
  </si>
  <si>
    <t xml:space="preserve">2025-W43</t>
  </si>
  <si>
    <t xml:space="preserve">2025-W44</t>
  </si>
  <si>
    <t xml:space="preserve">Ohio State Football vs Penn State</t>
  </si>
  <si>
    <t xml:space="preserve">2025-W45</t>
  </si>
  <si>
    <t xml:space="preserve">Paul McCartney</t>
  </si>
  <si>
    <t xml:space="preserve">Major-draw sellout-level act</t>
  </si>
  <si>
    <t xml:space="preserve">2025-W46</t>
  </si>
  <si>
    <t xml:space="preserve">John Legend - Get Lifted 20th Anniversary Tour</t>
  </si>
  <si>
    <t xml:space="preserve">Ohio State Football vs UCLA</t>
  </si>
  <si>
    <t xml:space="preserve">2025-W47</t>
  </si>
  <si>
    <t xml:space="preserve">Ohio State Football vs Rutgers</t>
  </si>
  <si>
    <t xml:space="preserve">2025-W48</t>
  </si>
  <si>
    <t xml:space="preserve">2025-W49</t>
  </si>
  <si>
    <t xml:space="preserve">GalaxyCon Columbus (Dec 05-Dec 07)</t>
  </si>
  <si>
    <t xml:space="preserve">FanCons / Eventeny</t>
  </si>
  <si>
    <t xml:space="preserve">2025-W50</t>
  </si>
  <si>
    <t xml:space="preserve">2025-W51</t>
  </si>
  <si>
    <t xml:space="preserve">2025-W52</t>
  </si>
  <si>
    <t xml:space="preserve">2026-W01</t>
  </si>
  <si>
    <t xml:space="preserve">2026-W03</t>
  </si>
  <si>
    <t xml:space="preserve">2026-W04</t>
  </si>
  <si>
    <t xml:space="preserve">Jason Aldean - Full Throttle Tour</t>
  </si>
  <si>
    <t xml:space="preserve">Winter Jam 2026</t>
  </si>
  <si>
    <t xml:space="preserve">Schottenstein Center site</t>
  </si>
  <si>
    <t xml:space="preserve">2026-W05</t>
  </si>
  <si>
    <t xml:space="preserve">2026-W06</t>
  </si>
  <si>
    <t xml:space="preserve">Ghost - Skeletour World Tour</t>
  </si>
  <si>
    <t xml:space="preserve">Band's first #1 Billboard 200 album</t>
  </si>
  <si>
    <t xml:space="preserve">Andrea Bocelli - Romanza 30th Anniversary Tour</t>
  </si>
  <si>
    <t xml:space="preserve">2026-W08</t>
  </si>
  <si>
    <t xml:space="preserve">Treaty Oak Revival - West Texas Degenerate Tour</t>
  </si>
  <si>
    <t xml:space="preserve">Nine Inch Nails - Peel It Back Tour</t>
  </si>
  <si>
    <t xml:space="preserve">Rock Hall inductees</t>
  </si>
  <si>
    <t xml:space="preserve">New Edition Way Tour (New Edition, Boyz II Men, Toni Braxton)</t>
  </si>
  <si>
    <t xml:space="preserve">2026-W09</t>
  </si>
  <si>
    <t xml:space="preserve">2026-W10</t>
  </si>
  <si>
    <t xml:space="preserve">Arnold Sports Festival (Mar 05-Mar 08)</t>
  </si>
  <si>
    <t xml:space="preserve">Barry Manilow - The Last Columbus Concert (rescheduled)</t>
  </si>
  <si>
    <t xml:space="preserve">Unconfirmed</t>
  </si>
  <si>
    <t xml:space="preserve">Conflicting search snippets also show Aug 2, 2026 — verify against venue site before use</t>
  </si>
  <si>
    <t xml:space="preserve">Blue Jackets vs Utah Mammoth</t>
  </si>
  <si>
    <t xml:space="preserve">Columbus Crew vs Chicago Fire FC (home opener)</t>
  </si>
  <si>
    <t xml:space="preserve">columbuscrew.com 2026 schedule</t>
  </si>
  <si>
    <t xml:space="preserve">Three Days Grace - Alienation Tour</t>
  </si>
  <si>
    <t xml:space="preserve">2026-W11</t>
  </si>
  <si>
    <t xml:space="preserve">2026-W12</t>
  </si>
  <si>
    <t xml:space="preserve">Journey - Final Frontier Tour</t>
  </si>
  <si>
    <t xml:space="preserve">Rock &amp; Roll Hall of Fame act</t>
  </si>
  <si>
    <t xml:space="preserve">2026-W13</t>
  </si>
  <si>
    <t xml:space="preserve">2026-W14</t>
  </si>
  <si>
    <t xml:space="preserve">2026-W15</t>
  </si>
  <si>
    <t xml:space="preserve">2026-W16</t>
  </si>
  <si>
    <t xml:space="preserve">Phil Wickham - Song of the Saints Tour</t>
  </si>
  <si>
    <t xml:space="preserve">2026-W17</t>
  </si>
  <si>
    <t xml:space="preserve">Columbus Crew vs LA Galaxy</t>
  </si>
  <si>
    <t xml:space="preserve">2026-W18</t>
  </si>
  <si>
    <t xml:space="preserve">Demi Lovato - It's Not That Deep Tour</t>
  </si>
  <si>
    <t xml:space="preserve">Columbus Crew vs Minnesota United FC</t>
  </si>
  <si>
    <t xml:space="preserve">2026-W21</t>
  </si>
  <si>
    <t xml:space="preserve">2026-W22</t>
  </si>
  <si>
    <t xml:space="preserve">Megan Moroney - Cloud 9 Tour</t>
  </si>
  <si>
    <t xml:space="preserve">2026-W23</t>
  </si>
  <si>
    <t xml:space="preserve">2026-W25</t>
  </si>
  <si>
    <t xml:space="preserve">Clippers homestand vs Scranton/WB (start of 6-game series)</t>
  </si>
  <si>
    <t xml:space="preserve">Origins Game Fair (Jun 17-Jun 21)</t>
  </si>
  <si>
    <t xml:space="preserve">Experience Columbus</t>
  </si>
  <si>
    <t xml:space="preserve">Stonewall Columbus Pride Festival &amp; March (Jun 19-Jun 20)</t>
  </si>
  <si>
    <t xml:space="preserve">Experience Columbus / Stonewall Columbus</t>
  </si>
  <si>
    <t xml:space="preserve">2026-W26</t>
  </si>
  <si>
    <t xml:space="preserve">Josh Groban &amp; Jennifer Hudson - North American Tour</t>
  </si>
  <si>
    <t xml:space="preserve">Comfest (Community Festival) (Jun 26-Jun 28)</t>
  </si>
  <si>
    <t xml:space="preserve">Comfest.com</t>
  </si>
  <si>
    <t xml:space="preserve">2026-W27</t>
  </si>
  <si>
    <t xml:space="preserve">2026-W29</t>
  </si>
  <si>
    <t xml:space="preserve">AC/DC - Power Up Tour</t>
  </si>
  <si>
    <t xml:space="preserve">Stadium-scale, outside the three core venues but a major downtown/campus demand driver</t>
  </si>
  <si>
    <t xml:space="preserve">Clippers homestand vs Indianapolis (start of 3-game series)</t>
  </si>
  <si>
    <t xml:space="preserve">Cody Johnson - 2026 Tour (rescheduled) (Jul 17-Jul 18)</t>
  </si>
  <si>
    <t xml:space="preserve">2026-W30</t>
  </si>
  <si>
    <t xml:space="preserve">League-wide World Cup break late May-mid July 2026</t>
  </si>
  <si>
    <t xml:space="preserve">Lil Wayne</t>
  </si>
  <si>
    <t xml:space="preserve">2026-W31</t>
  </si>
  <si>
    <t xml:space="preserve">Ohio State Fair (Jul 29-Aug 09)</t>
  </si>
  <si>
    <t xml:space="preserve">Scheduled</t>
  </si>
  <si>
    <t xml:space="preserve">Ohio State Fair official site</t>
  </si>
  <si>
    <t xml:space="preserve">Barry Manilow (possible duplicate/reschedule of Mar 6 date)</t>
  </si>
  <si>
    <t xml:space="preserve">Conflicting snippets — verify directly, may be duplicate of March 6 entry</t>
  </si>
  <si>
    <t xml:space="preserve">2026-W33</t>
  </si>
  <si>
    <t xml:space="preserve">Zac Brown Band - Love &amp; Fear Tour</t>
  </si>
  <si>
    <t xml:space="preserve">2026-W34</t>
  </si>
  <si>
    <t xml:space="preserve">2026-W35</t>
  </si>
  <si>
    <t xml:space="preserve">2026-W36</t>
  </si>
  <si>
    <t xml:space="preserve">Ohio State Football vs Ball State</t>
  </si>
  <si>
    <t xml:space="preserve">2026 season not yet played as of prep date</t>
  </si>
  <si>
    <t xml:space="preserve">ohiostatebuckeyes.com/sports/football/schedule/2026</t>
  </si>
  <si>
    <t xml:space="preserve">Columbus Crew vs Colorado Rapids</t>
  </si>
  <si>
    <t xml:space="preserve">2026-W37</t>
  </si>
  <si>
    <t xml:space="preserve">2026-W38</t>
  </si>
  <si>
    <t xml:space="preserve">Ohio State Football vs Kent State</t>
  </si>
  <si>
    <t xml:space="preserve">2026-W39</t>
  </si>
  <si>
    <t xml:space="preserve">Ohio State Football vs Illinois</t>
  </si>
  <si>
    <t xml:space="preserve">2026-W41</t>
  </si>
  <si>
    <t xml:space="preserve">Ohio State Football vs Maryland (Homecoming)</t>
  </si>
  <si>
    <t xml:space="preserve">2026-W42</t>
  </si>
  <si>
    <t xml:space="preserve">Blue Jackets vs New Jersey Devils (PROJECTED — 2026-27 schedule not yet released)</t>
  </si>
  <si>
    <t xml:space="preserve">Projected</t>
  </si>
  <si>
    <t xml:space="preserve">Placeholder: date/opponent modeled on the equivalent 2025-26 (Oct-Dec 2025) game shifted +1 year; attendance = 2024+2025 season average. Replace with real schedule once the NHL releases it.</t>
  </si>
  <si>
    <t xml:space="preserve">PROJECTION — based on hockey-reference.com/teams/CBJ 2025-26 season, not an official 2026-27 source</t>
  </si>
  <si>
    <t xml:space="preserve">Blue Jackets vs Colorado Avalanche (PROJECTED — 2026-27 schedule not yet released)</t>
  </si>
  <si>
    <t xml:space="preserve">Columbus Marathon / Half Marathon (provisional) (Oct 17-Oct 18)</t>
  </si>
  <si>
    <t xml:space="preserve">Date not confirmed on marathon's own site as of prep date</t>
  </si>
  <si>
    <t xml:space="preserve">My Best Runs / ahotu</t>
  </si>
  <si>
    <t xml:space="preserve">Blue Jackets vs Tampa Bay Lightning (PROJECTED — 2026-27 schedule not yet released)</t>
  </si>
  <si>
    <t xml:space="preserve">2026-W43</t>
  </si>
  <si>
    <t xml:space="preserve">Blue Jackets vs Washington Capitals (PROJECTED — 2026-27 schedule not yet released)</t>
  </si>
  <si>
    <t xml:space="preserve">2026-W44</t>
  </si>
  <si>
    <t xml:space="preserve">Blue Jackets vs Toronto Maple Leafs (PROJECTED — 2026-27 schedule not yet released)</t>
  </si>
  <si>
    <t xml:space="preserve">Blue Jackets vs St. Louis Blues (PROJECTED — 2026-27 schedule not yet released)</t>
  </si>
  <si>
    <t xml:space="preserve">2026-W45</t>
  </si>
  <si>
    <t xml:space="preserve">Ohio State Football vs Oregon</t>
  </si>
  <si>
    <t xml:space="preserve">2026-W46</t>
  </si>
  <si>
    <t xml:space="preserve">Blue Jackets vs Edmonton Oilers (PROJECTED — 2026-27 schedule not yet released)</t>
  </si>
  <si>
    <t xml:space="preserve">Ohio State Football vs Northwestern</t>
  </si>
  <si>
    <t xml:space="preserve">Blue Jackets vs New York Rangers (PROJECTED — 2026-27 schedule not yet released)</t>
  </si>
  <si>
    <t xml:space="preserve">2026-W47</t>
  </si>
  <si>
    <t xml:space="preserve">Blue Jackets vs Montreal Canadiens (PROJECTED — 2026-27 schedule not yet released)</t>
  </si>
  <si>
    <t xml:space="preserve">2026-W48</t>
  </si>
  <si>
    <t xml:space="preserve">Blue Jackets vs Pittsburgh Penguins (PROJECTED — 2026-27 schedule not yet released)</t>
  </si>
  <si>
    <t xml:space="preserve">2026-W49</t>
  </si>
  <si>
    <t xml:space="preserve">Blue Jackets vs Detroit Red Wings (PROJECTED — 2026-27 schedule not yet released)</t>
  </si>
  <si>
    <t xml:space="preserve">GalaxyCon Columbus (provisional) (Dec 04-Dec 06)</t>
  </si>
  <si>
    <t xml:space="preserve">Third-party pattern-based listing, not yet on official GalaxyCon site</t>
  </si>
  <si>
    <t xml:space="preserve">Eventeny/FanCons pattern</t>
  </si>
  <si>
    <t xml:space="preserve">2026-W50</t>
  </si>
  <si>
    <t xml:space="preserve">Blue Jackets vs Ottawa Senators (PROJECTED — 2026-27 schedule not yet released)</t>
  </si>
  <si>
    <t xml:space="preserve">Blue Jackets vs Vegas Golden Knights (PROJECTED — 2026-27 schedule not yet released)</t>
  </si>
  <si>
    <t xml:space="preserve">2026-W51</t>
  </si>
  <si>
    <t xml:space="preserve">Blue Jackets vs Anaheim Ducks (PROJECTED — 2026-27 schedule not yet released)</t>
  </si>
  <si>
    <t xml:space="preserve">Blue Jackets vs Minnesota Wild (PROJECTED — 2026-27 schedule not yet released)</t>
  </si>
  <si>
    <t xml:space="preserve">2026-W53</t>
  </si>
  <si>
    <t xml:space="preserve">Blue Jackets vs New York Islanders (PROJECTED — 2026-27 schedule not yet released)</t>
  </si>
  <si>
    <t xml:space="preserve">2024 Events</t>
  </si>
  <si>
    <t xml:space="preserve">2024 Attendance</t>
  </si>
  <si>
    <t xml:space="preserve">2025 Events</t>
  </si>
  <si>
    <t xml:space="preserve">2025 Attendance</t>
  </si>
  <si>
    <t xml:space="preserve">2026 Events</t>
  </si>
  <si>
    <t xml:space="preserve">2026 Attendance</t>
  </si>
  <si>
    <t xml:space="preserve">WoW Δ 2026 Events</t>
  </si>
  <si>
    <t xml:space="preserve">YoY Δ 2026 vs 2025 Events</t>
  </si>
  <si>
    <t xml:space="preserve">YoY Δ 2026 vs 2025 Attendance</t>
  </si>
  <si>
    <t xml:space="preserve">2024 Events (same wk)</t>
  </si>
  <si>
    <t xml:space="preserve">2025 Events (same wk)</t>
  </si>
  <si>
    <t xml:space="preserve">2-Yr Avg Baseline Events</t>
  </si>
  <si>
    <t xml:space="preserve">2026 Confirmed/Logged Events</t>
  </si>
  <si>
    <t xml:space="preserve">Projected Additional Events</t>
  </si>
  <si>
    <t xml:space="preserve">Total Projected Events</t>
  </si>
  <si>
    <t xml:space="preserve">2024 Attendance (same wk)</t>
  </si>
  <si>
    <t xml:space="preserve">2025 Attendance (same wk)</t>
  </si>
  <si>
    <t xml:space="preserve">2-Yr Avg Baseline Attendance</t>
  </si>
  <si>
    <t xml:space="preserve">2026 Confirmed Attendance</t>
  </si>
  <si>
    <t xml:space="preserve">Total Projected Attendance</t>
  </si>
  <si>
    <t xml:space="preserve">Methodology: baseline = average of 2024 and 2025 actuals for the same ISO week. "Confirmed/Logged" pulls anything already on the Events tab for 2026 (played, scheduled, or the Blue Jackets 2026-27 placeholder rows). "Projected Additional" fills the gap between the baseline and what's already confirmed (floored at 0) — it represents likely unannounced demand (concerts, Gallery Hops, etc.) this week has historically carried but 2026 hasn't logged yet. Total Attendance uses confirmed attendance where reported, else the 2-yr baseline.</t>
  </si>
  <si>
    <t xml:space="preserve">Item</t>
  </si>
  <si>
    <t xml:space="preserve">Note</t>
  </si>
  <si>
    <t xml:space="preserve">Columbus Clippers (MiLB)</t>
  </si>
  <si>
    <t xml:space="preserve">MiLB's live schedule is JS-rendered and did not yield a scrapeable per-game list. Logged as homestand-start rows (~6-game series) with the series length noted, not individual games. 2025 season only has a single season-note row — homestand dates were not sourced. Treat weekly Clippers demand as directional, not exact.</t>
  </si>
  <si>
    <t xml:space="preserve">Gallery Hop (Short North, monthly)</t>
  </si>
  <si>
    <t xml:space="preserve">Recurring roughly monthly on High Street; exact 2024-2026 dates were not sourced and are excluded from this database rather than fabricated. Add manually if exact dates matter for a given week.</t>
  </si>
  <si>
    <t xml:space="preserve">Nationwide Arena / KEMBA Live! 2024 concerts</t>
  </si>
  <si>
    <t xml:space="preserve">Could not confirm specific 2024 headline acts at Nationwide Arena from available search results. 2024 concert coverage in this database is therefore thin — recommend a follow-up pass against nationwidearena.com/calendar archived pages or concertarchives.org.</t>
  </si>
  <si>
    <t xml:space="preserve">Barry Manilow date conflict</t>
  </si>
  <si>
    <t xml:space="preserve">Search sources show both March 6, 2026 and August 2, 2026 at Nationwide Arena — likely a reschedule-of-a-reschedule. Both rows kept and flagged Unconfirmed pending direct venue verification.</t>
  </si>
  <si>
    <t xml:space="preserve">2026 Columbus Marathon</t>
  </si>
  <si>
    <t xml:space="preserve">Not yet officially confirmed on the marathon's own site as of prep date; logged as Unconfirmed with a provisional Oct 17-18, 2026 date from third-party listings.</t>
  </si>
  <si>
    <t xml:space="preserve">2026 GalaxyCon Columbus</t>
  </si>
  <si>
    <t xml:space="preserve">Provisional Dec 4-6, 2026 date from a third-party pattern-based listing, not yet on GalaxyCon's own site. Flagged Unconfirmed.</t>
  </si>
  <si>
    <t xml:space="preserve">OSU football attendance figures (2025)</t>
  </si>
  <si>
    <t xml:space="preserve">A Columbus Dispatch public-records audit found OSU's officially announced attendance was consistently higher than actual scanned-ticket counts for 2025 home games. This database uses the scanned-ticket (actual) figures.</t>
  </si>
  <si>
    <t xml:space="preserve">Blue Jackets NHL Stadium Series (Mar 1, 2025)</t>
  </si>
  <si>
    <t xml:space="preserve">Played at Ohio Stadium, not Nationwide Arena — flagged and excluded from Arena District venue rollups if you filter by venue.</t>
  </si>
  <si>
    <t xml:space="preserve">Crew relocated match (Apr 19, 2025)</t>
  </si>
  <si>
    <t xml:space="preserve">Home fixture vs Inter Miami relocated to Huntington Bank Field, Cleveland — flagged and should be excluded from Columbus-venue totals.</t>
  </si>
  <si>
    <t xml:space="preserve">Attendance blanks</t>
  </si>
  <si>
    <t xml:space="preserve">Blank Est. Attendance = not reported / not yet played, not zero. Do not treat blanks as zero demand in SUMIFS-based comparisons — the Weekly Summary tab sums only reported figures.</t>
  </si>
  <si>
    <t xml:space="preserve">Blue Jackets 2026-27 season (Oct-Dec 2026)</t>
  </si>
  <si>
    <t xml:space="preserve">NHL had not released the 2026-27 schedule as of prep date. 18 placeholder rows added to the Events tab (status = Projected) modeling Oct-Dec 2026 dates/opponents on the equivalent 2025-26 games shifted +1 year, with attendance set to the 2024+2025 Blue Jackets season average. Replace with the real schedule once released — do not treat these dates/opponents as confirmed.</t>
  </si>
  <si>
    <t xml:space="preserve">2026 Projection tab</t>
  </si>
  <si>
    <t xml:space="preserve">Covers ISO weeks after today's date (week 31, 2026) through week 53. Baseline = 2-year (2024/2025) average for the same ISO week; "Projected Additional" is a gap-fill estimate for likely unannounced events, not sourced individual events. Use for capacity/staffing planning, not as a source of specific event dates.</t>
  </si>
  <si>
    <t xml:space="preserve">Days Observed</t>
  </si>
  <si>
    <t xml:space="preserve">Avg High (F)</t>
  </si>
  <si>
    <t xml:space="preserve">Avg Low (F)</t>
  </si>
  <si>
    <t xml:space="preserve">Total Precip (in)</t>
  </si>
  <si>
    <t xml:space="preserve">Total Snow (in)</t>
  </si>
  <si>
    <t xml:space="preserve">Max Temp Seen (F)</t>
  </si>
  <si>
    <t xml:space="preserve">Min Temp Seen (F)</t>
  </si>
  <si>
    <t xml:space="preserve">Severe Weather Days</t>
  </si>
  <si>
    <t xml:space="preserve">2024-W01</t>
  </si>
  <si>
    <t xml:space="preserve">2024-W02</t>
  </si>
  <si>
    <t xml:space="preserve">2024-W03</t>
  </si>
  <si>
    <t xml:space="preserve">2024-W04</t>
  </si>
  <si>
    <t xml:space="preserve">2024-W05</t>
  </si>
  <si>
    <t xml:space="preserve">2024-W06</t>
  </si>
  <si>
    <t xml:space="preserve">2024-W07</t>
  </si>
  <si>
    <t xml:space="preserve">2024-W12</t>
  </si>
  <si>
    <t xml:space="preserve">2024-W13</t>
  </si>
  <si>
    <t xml:space="preserve">2024-W15</t>
  </si>
  <si>
    <t xml:space="preserve">2024-W21</t>
  </si>
  <si>
    <t xml:space="preserve">2024-W23</t>
  </si>
  <si>
    <t xml:space="preserve">2024-W28</t>
  </si>
  <si>
    <t xml:space="preserve">2024-W32</t>
  </si>
  <si>
    <t xml:space="preserve">2024-W33</t>
  </si>
  <si>
    <t xml:space="preserve">2024-W39</t>
  </si>
  <si>
    <t xml:space="preserve">2025-W05</t>
  </si>
  <si>
    <t xml:space="preserve">2025-W07</t>
  </si>
  <si>
    <t xml:space="preserve">2025-W19</t>
  </si>
  <si>
    <t xml:space="preserve">2025-W21</t>
  </si>
  <si>
    <t xml:space="preserve">2025-W23</t>
  </si>
  <si>
    <t xml:space="preserve">2025-W28</t>
  </si>
  <si>
    <t xml:space="preserve">2025-W31</t>
  </si>
  <si>
    <t xml:space="preserve">2025-W33</t>
  </si>
  <si>
    <t xml:space="preserve">2025-W41</t>
  </si>
  <si>
    <t xml:space="preserve">2026-W02</t>
  </si>
  <si>
    <t xml:space="preserve">2026-W07</t>
  </si>
  <si>
    <t xml:space="preserve">2026-W19</t>
  </si>
  <si>
    <t xml:space="preserve">2026-W20</t>
  </si>
  <si>
    <t xml:space="preserve">2026-W24</t>
  </si>
  <si>
    <t xml:space="preserve">2026-W28</t>
  </si>
  <si>
    <t xml:space="preserve">Source: Open-Meteo historical archive (ERA5-based reanalysis), ~40.0N -83.0W (Columbus, OH area), daily highs/lows/precip/snowfall aggregated to ISO week. This is a high-quality modeled estimate, not raw KCMH airport station observations — treat as directional for demand analysis, not a substitute for an official NWS station record. "Severe Weather Days" = any day in the week with precip &gt;= 1.0in, snowfall &gt;= 2.0in, high temp &gt;= 95F, or low temp &lt;= 10F (a simple ridership-relevant threshold, not an NWS advisory definition). 2026 data runs through week 31 (Jul 28, partial — 2 days only).</t>
  </si>
  <si>
    <t xml:space="preserve">NOAA Normal High (F)</t>
  </si>
  <si>
    <t xml:space="preserve">NOAA Normal Low (F)</t>
  </si>
  <si>
    <t xml:space="preserve">NOAA Normal Precip (in)</t>
  </si>
  <si>
    <t xml:space="preserve">NOAA Normal Snow (in)</t>
  </si>
  <si>
    <t xml:space="preserve">2024 Actual High (same wk)</t>
  </si>
  <si>
    <t xml:space="preserve">2025 Actual High (same wk)</t>
  </si>
  <si>
    <t xml:space="preserve">2024 Actual Precip</t>
  </si>
  <si>
    <t xml:space="preserve">2025 Actual Precip</t>
  </si>
  <si>
    <t xml:space="preserve">Projected 2026 High (F)</t>
  </si>
  <si>
    <t xml:space="preserve">Projected 2026 Low (F)</t>
  </si>
  <si>
    <t xml:space="preserve">Projected 2026 Precip (in)</t>
  </si>
  <si>
    <t xml:space="preserve">Projected 2026 Snow (in)</t>
  </si>
  <si>
    <t xml:space="preserve">Methodology: NOAA columns are official 1991-2020 climate normals for KCMH (Port Columbus Intl AP, station USW00014821) — the standard basis for "what's typical" this far out. Projected High/Precip blend the NOAA normal with this database's own 2024 and 2025 actuals for the same ISO week (simple 3-way average) where both years have data, which nudges the projection toward this specific site's recent pattern; Projected Low/Snow use the NOAA normal directly since the historical sheet doesn't track a comparable low/snow actual split worth blending. This is a climate-normal-based planning estimate, not a weather forecast — actual 2026 conditions for any given week will vary, sometimes significantly.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</si>
</sst>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#,##0;\(#,##0\);\-"/>
    <numFmt numFmtId="167" formatCode="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8A5F1F"/>
      <name val="Arial"/>
      <family val="0"/>
      <charset val="1"/>
    </font>
    <font>
      <b val="true"/>
      <sz val="10"/>
      <color rgb="FF1F6B63"/>
      <name val="Arial"/>
      <family val="0"/>
      <charset val="1"/>
    </font>
    <font>
      <i val="true"/>
      <sz val="10"/>
      <color rgb="FF8A5F1F"/>
      <name val="Arial"/>
      <family val="0"/>
      <charset val="1"/>
    </font>
    <font>
      <b val="true"/>
      <sz val="10"/>
      <color rgb="FFB00020"/>
      <name val="Arial"/>
      <family val="0"/>
      <charset val="1"/>
    </font>
    <font>
      <i val="true"/>
      <sz val="10"/>
      <color rgb="FF1F6B63"/>
      <name val="Arial"/>
      <family val="0"/>
      <charset val="1"/>
    </font>
    <font>
      <b val="true"/>
      <i val="true"/>
      <sz val="10"/>
      <color rgb="FF6B3FA0"/>
      <name val="Arial"/>
      <family val="0"/>
      <charset val="1"/>
    </font>
    <font>
      <i val="true"/>
      <sz val="9"/>
      <color rgb="FF5B6270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B1F27"/>
        <bgColor rgb="FF333300"/>
      </patternFill>
    </fill>
    <fill>
      <patternFill patternType="solid">
        <fgColor rgb="FFFDEBD3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4CC"/>
      </left>
      <right style="thin">
        <color rgb="FFD8D4CC"/>
      </right>
      <top style="thin">
        <color rgb="FFD8D4CC"/>
      </top>
      <bottom style="thin">
        <color rgb="FFD8D4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20"/>
      <rgbColor rgb="FF008000"/>
      <rgbColor rgb="FF000080"/>
      <rgbColor rgb="FF8A5F1F"/>
      <rgbColor rgb="FF800080"/>
      <rgbColor rgb="FF1F6B63"/>
      <rgbColor rgb="FFC0C0C0"/>
      <rgbColor rgb="FF808080"/>
      <rgbColor rgb="FF9999FF"/>
      <rgbColor rgb="FF993366"/>
      <rgbColor rgb="FFFDEBD3"/>
      <rgbColor rgb="FFCCFFFF"/>
      <rgbColor rgb="FF660066"/>
      <rgbColor rgb="FFFF8080"/>
      <rgbColor rgb="FF0066CC"/>
      <rgbColor rgb="FFD8D4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270"/>
      <rgbColor rgb="FF969696"/>
      <rgbColor rgb="FF003366"/>
      <rgbColor rgb="FF339966"/>
      <rgbColor rgb="FF003300"/>
      <rgbColor rgb="FF333300"/>
      <rgbColor rgb="FF993300"/>
      <rgbColor rgb="FF993366"/>
      <rgbColor rgb="FF6B3FA0"/>
      <rgbColor rgb="FF1B1F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9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46"/>
    <col collapsed="false" customWidth="true" hidden="false" outlineLevel="0" max="7" min="7" style="0" width="22"/>
    <col collapsed="false" customWidth="true" hidden="false" outlineLevel="0" max="8" min="8" style="0" width="26"/>
    <col collapsed="false" customWidth="true" hidden="false" outlineLevel="0" max="9" min="9" style="0" width="20"/>
    <col collapsed="false" customWidth="true" hidden="false" outlineLevel="0" max="10" min="10" style="0" width="7"/>
    <col collapsed="false" customWidth="true" hidden="false" outlineLevel="0" max="11" min="11" style="0" width="13"/>
    <col collapsed="false" customWidth="true" hidden="false" outlineLevel="0" max="12" min="12" style="0" width="12"/>
    <col collapsed="false" customWidth="true" hidden="false" outlineLevel="0" max="13" min="13" style="0" width="50"/>
    <col collapsed="false" customWidth="true" hidden="false" outlineLevel="0" max="14" min="14" style="0" width="32"/>
  </cols>
  <sheetData>
    <row r="1" customFormat="false" ht="23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n">
        <v>45346</v>
      </c>
      <c r="B2" s="3" t="n">
        <v>2024</v>
      </c>
      <c r="C2" s="3" t="n">
        <v>8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4" t="s">
        <v>20</v>
      </c>
      <c r="K2" s="3" t="n">
        <v>20406</v>
      </c>
      <c r="L2" s="3" t="s">
        <v>21</v>
      </c>
      <c r="M2" s="3"/>
      <c r="N2" s="3" t="s">
        <v>22</v>
      </c>
    </row>
    <row r="3" customFormat="false" ht="15" hidden="false" customHeight="false" outlineLevel="0" collapsed="false">
      <c r="A3" s="2" t="n">
        <v>45351</v>
      </c>
      <c r="B3" s="3" t="n">
        <v>2024</v>
      </c>
      <c r="C3" s="3" t="n">
        <v>9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27</v>
      </c>
      <c r="J3" s="5" t="s">
        <v>28</v>
      </c>
      <c r="K3" s="3" t="n">
        <v>200000</v>
      </c>
      <c r="L3" s="3" t="s">
        <v>21</v>
      </c>
      <c r="M3" s="3"/>
      <c r="N3" s="3" t="s">
        <v>29</v>
      </c>
    </row>
    <row r="4" customFormat="false" ht="15" hidden="false" customHeight="false" outlineLevel="0" collapsed="false">
      <c r="A4" s="2" t="n">
        <v>45360</v>
      </c>
      <c r="B4" s="3" t="n">
        <v>2024</v>
      </c>
      <c r="C4" s="3" t="n">
        <v>10</v>
      </c>
      <c r="D4" s="3" t="s">
        <v>30</v>
      </c>
      <c r="E4" s="3" t="s">
        <v>15</v>
      </c>
      <c r="F4" s="3" t="s">
        <v>31</v>
      </c>
      <c r="G4" s="3" t="s">
        <v>17</v>
      </c>
      <c r="H4" s="3" t="s">
        <v>18</v>
      </c>
      <c r="I4" s="3" t="s">
        <v>19</v>
      </c>
      <c r="J4" s="4" t="s">
        <v>20</v>
      </c>
      <c r="K4" s="3" t="n">
        <v>20327</v>
      </c>
      <c r="L4" s="3" t="s">
        <v>21</v>
      </c>
      <c r="M4" s="3"/>
      <c r="N4" s="3" t="s">
        <v>22</v>
      </c>
    </row>
    <row r="5" customFormat="false" ht="15" hidden="false" customHeight="false" outlineLevel="0" collapsed="false">
      <c r="A5" s="2" t="n">
        <v>45367</v>
      </c>
      <c r="B5" s="3" t="n">
        <v>2024</v>
      </c>
      <c r="C5" s="3" t="n">
        <v>11</v>
      </c>
      <c r="D5" s="3" t="s">
        <v>32</v>
      </c>
      <c r="E5" s="3" t="s">
        <v>15</v>
      </c>
      <c r="F5" s="3" t="s">
        <v>33</v>
      </c>
      <c r="G5" s="3" t="s">
        <v>17</v>
      </c>
      <c r="H5" s="3" t="s">
        <v>18</v>
      </c>
      <c r="I5" s="3" t="s">
        <v>19</v>
      </c>
      <c r="J5" s="4" t="s">
        <v>20</v>
      </c>
      <c r="K5" s="3" t="n">
        <v>20314</v>
      </c>
      <c r="L5" s="3" t="s">
        <v>21</v>
      </c>
      <c r="M5" s="3"/>
      <c r="N5" s="3" t="s">
        <v>22</v>
      </c>
    </row>
    <row r="6" customFormat="false" ht="15" hidden="false" customHeight="false" outlineLevel="0" collapsed="false">
      <c r="A6" s="2" t="n">
        <v>45384</v>
      </c>
      <c r="B6" s="3" t="n">
        <v>2024</v>
      </c>
      <c r="C6" s="3" t="n">
        <v>14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19</v>
      </c>
      <c r="J6" s="4" t="s">
        <v>20</v>
      </c>
      <c r="K6" s="3"/>
      <c r="L6" s="3" t="s">
        <v>21</v>
      </c>
      <c r="M6" s="3" t="s">
        <v>39</v>
      </c>
      <c r="N6" s="3" t="s">
        <v>40</v>
      </c>
    </row>
    <row r="7" customFormat="false" ht="15" hidden="false" customHeight="false" outlineLevel="0" collapsed="false">
      <c r="A7" s="2" t="n">
        <v>45388</v>
      </c>
      <c r="B7" s="3" t="n">
        <v>2024</v>
      </c>
      <c r="C7" s="3" t="n">
        <v>14</v>
      </c>
      <c r="D7" s="3" t="s">
        <v>34</v>
      </c>
      <c r="E7" s="3" t="s">
        <v>15</v>
      </c>
      <c r="F7" s="3" t="s">
        <v>41</v>
      </c>
      <c r="G7" s="3" t="s">
        <v>17</v>
      </c>
      <c r="H7" s="3" t="s">
        <v>18</v>
      </c>
      <c r="I7" s="3" t="s">
        <v>19</v>
      </c>
      <c r="J7" s="4" t="s">
        <v>20</v>
      </c>
      <c r="K7" s="3" t="n">
        <v>20740</v>
      </c>
      <c r="L7" s="3" t="s">
        <v>21</v>
      </c>
      <c r="M7" s="3"/>
      <c r="N7" s="3" t="s">
        <v>22</v>
      </c>
    </row>
    <row r="8" customFormat="false" ht="15" hidden="false" customHeight="false" outlineLevel="0" collapsed="false">
      <c r="A8" s="2" t="n">
        <v>45398</v>
      </c>
      <c r="B8" s="3" t="n">
        <v>2024</v>
      </c>
      <c r="C8" s="3" t="n">
        <v>16</v>
      </c>
      <c r="D8" s="3" t="s">
        <v>42</v>
      </c>
      <c r="E8" s="3" t="s">
        <v>35</v>
      </c>
      <c r="F8" s="3" t="s">
        <v>43</v>
      </c>
      <c r="G8" s="3" t="s">
        <v>37</v>
      </c>
      <c r="H8" s="3" t="s">
        <v>38</v>
      </c>
      <c r="I8" s="3" t="s">
        <v>19</v>
      </c>
      <c r="J8" s="4" t="s">
        <v>20</v>
      </c>
      <c r="K8" s="3"/>
      <c r="L8" s="3" t="s">
        <v>21</v>
      </c>
      <c r="M8" s="3" t="s">
        <v>39</v>
      </c>
      <c r="N8" s="3" t="s">
        <v>40</v>
      </c>
    </row>
    <row r="9" customFormat="false" ht="15" hidden="false" customHeight="false" outlineLevel="0" collapsed="false">
      <c r="A9" s="2" t="n">
        <v>45402</v>
      </c>
      <c r="B9" s="3" t="n">
        <v>2024</v>
      </c>
      <c r="C9" s="3" t="n">
        <v>16</v>
      </c>
      <c r="D9" s="3" t="s">
        <v>42</v>
      </c>
      <c r="E9" s="3" t="s">
        <v>15</v>
      </c>
      <c r="F9" s="3" t="s">
        <v>44</v>
      </c>
      <c r="G9" s="3" t="s">
        <v>17</v>
      </c>
      <c r="H9" s="3" t="s">
        <v>18</v>
      </c>
      <c r="I9" s="3" t="s">
        <v>19</v>
      </c>
      <c r="J9" s="4" t="s">
        <v>20</v>
      </c>
      <c r="K9" s="3" t="n">
        <v>20614</v>
      </c>
      <c r="L9" s="3" t="s">
        <v>21</v>
      </c>
      <c r="M9" s="3"/>
      <c r="N9" s="3" t="s">
        <v>22</v>
      </c>
    </row>
    <row r="10" customFormat="false" ht="15" hidden="false" customHeight="false" outlineLevel="0" collapsed="false">
      <c r="A10" s="2" t="n">
        <v>45409</v>
      </c>
      <c r="B10" s="3" t="n">
        <v>2024</v>
      </c>
      <c r="C10" s="3" t="n">
        <v>17</v>
      </c>
      <c r="D10" s="3" t="s">
        <v>45</v>
      </c>
      <c r="E10" s="3" t="s">
        <v>15</v>
      </c>
      <c r="F10" s="3" t="s">
        <v>46</v>
      </c>
      <c r="G10" s="3" t="s">
        <v>17</v>
      </c>
      <c r="H10" s="3" t="s">
        <v>18</v>
      </c>
      <c r="I10" s="3" t="s">
        <v>19</v>
      </c>
      <c r="J10" s="4" t="s">
        <v>20</v>
      </c>
      <c r="K10" s="3" t="n">
        <v>20927</v>
      </c>
      <c r="L10" s="3" t="s">
        <v>21</v>
      </c>
      <c r="M10" s="3"/>
      <c r="N10" s="3" t="s">
        <v>22</v>
      </c>
    </row>
    <row r="11" customFormat="false" ht="15" hidden="false" customHeight="false" outlineLevel="0" collapsed="false">
      <c r="A11" s="2" t="n">
        <v>45412</v>
      </c>
      <c r="B11" s="3" t="n">
        <v>2024</v>
      </c>
      <c r="C11" s="3" t="n">
        <v>18</v>
      </c>
      <c r="D11" s="3" t="s">
        <v>47</v>
      </c>
      <c r="E11" s="3" t="s">
        <v>35</v>
      </c>
      <c r="F11" s="3" t="s">
        <v>48</v>
      </c>
      <c r="G11" s="3" t="s">
        <v>37</v>
      </c>
      <c r="H11" s="3" t="s">
        <v>38</v>
      </c>
      <c r="I11" s="3" t="s">
        <v>19</v>
      </c>
      <c r="J11" s="4" t="s">
        <v>20</v>
      </c>
      <c r="K11" s="3"/>
      <c r="L11" s="3" t="s">
        <v>21</v>
      </c>
      <c r="M11" s="3" t="s">
        <v>39</v>
      </c>
      <c r="N11" s="3" t="s">
        <v>40</v>
      </c>
    </row>
    <row r="12" customFormat="false" ht="15" hidden="false" customHeight="false" outlineLevel="0" collapsed="false">
      <c r="A12" s="2" t="n">
        <v>45423</v>
      </c>
      <c r="B12" s="3" t="n">
        <v>2024</v>
      </c>
      <c r="C12" s="3" t="n">
        <v>19</v>
      </c>
      <c r="D12" s="3" t="s">
        <v>49</v>
      </c>
      <c r="E12" s="3" t="s">
        <v>15</v>
      </c>
      <c r="F12" s="3" t="s">
        <v>50</v>
      </c>
      <c r="G12" s="3" t="s">
        <v>17</v>
      </c>
      <c r="H12" s="3" t="s">
        <v>18</v>
      </c>
      <c r="I12" s="3" t="s">
        <v>19</v>
      </c>
      <c r="J12" s="4" t="s">
        <v>20</v>
      </c>
      <c r="K12" s="3" t="n">
        <v>20900</v>
      </c>
      <c r="L12" s="3" t="s">
        <v>21</v>
      </c>
      <c r="M12" s="3"/>
      <c r="N12" s="3" t="s">
        <v>22</v>
      </c>
    </row>
    <row r="13" customFormat="false" ht="15" hidden="false" customHeight="false" outlineLevel="0" collapsed="false">
      <c r="A13" s="2" t="n">
        <v>45426</v>
      </c>
      <c r="B13" s="3" t="n">
        <v>2024</v>
      </c>
      <c r="C13" s="3" t="n">
        <v>20</v>
      </c>
      <c r="D13" s="3" t="s">
        <v>51</v>
      </c>
      <c r="E13" s="3" t="s">
        <v>35</v>
      </c>
      <c r="F13" s="3" t="s">
        <v>52</v>
      </c>
      <c r="G13" s="3" t="s">
        <v>37</v>
      </c>
      <c r="H13" s="3" t="s">
        <v>38</v>
      </c>
      <c r="I13" s="3" t="s">
        <v>19</v>
      </c>
      <c r="J13" s="4" t="s">
        <v>20</v>
      </c>
      <c r="K13" s="3"/>
      <c r="L13" s="3" t="s">
        <v>21</v>
      </c>
      <c r="M13" s="3" t="s">
        <v>39</v>
      </c>
      <c r="N13" s="3" t="s">
        <v>40</v>
      </c>
    </row>
    <row r="14" customFormat="false" ht="15" hidden="false" customHeight="false" outlineLevel="0" collapsed="false">
      <c r="A14" s="2" t="n">
        <v>45440</v>
      </c>
      <c r="B14" s="3" t="n">
        <v>2024</v>
      </c>
      <c r="C14" s="3" t="n">
        <v>22</v>
      </c>
      <c r="D14" s="3" t="s">
        <v>53</v>
      </c>
      <c r="E14" s="3" t="s">
        <v>35</v>
      </c>
      <c r="F14" s="3" t="s">
        <v>54</v>
      </c>
      <c r="G14" s="3" t="s">
        <v>37</v>
      </c>
      <c r="H14" s="3" t="s">
        <v>38</v>
      </c>
      <c r="I14" s="3" t="s">
        <v>19</v>
      </c>
      <c r="J14" s="4" t="s">
        <v>20</v>
      </c>
      <c r="K14" s="3"/>
      <c r="L14" s="3" t="s">
        <v>21</v>
      </c>
      <c r="M14" s="3" t="s">
        <v>39</v>
      </c>
      <c r="N14" s="3" t="s">
        <v>40</v>
      </c>
    </row>
    <row r="15" customFormat="false" ht="15" hidden="false" customHeight="false" outlineLevel="0" collapsed="false">
      <c r="A15" s="2" t="n">
        <v>45454</v>
      </c>
      <c r="B15" s="3" t="n">
        <v>2024</v>
      </c>
      <c r="C15" s="3" t="n">
        <v>24</v>
      </c>
      <c r="D15" s="3" t="s">
        <v>55</v>
      </c>
      <c r="E15" s="3" t="s">
        <v>35</v>
      </c>
      <c r="F15" s="3" t="s">
        <v>56</v>
      </c>
      <c r="G15" s="3" t="s">
        <v>37</v>
      </c>
      <c r="H15" s="3" t="s">
        <v>38</v>
      </c>
      <c r="I15" s="3" t="s">
        <v>19</v>
      </c>
      <c r="J15" s="4" t="s">
        <v>20</v>
      </c>
      <c r="K15" s="3"/>
      <c r="L15" s="3" t="s">
        <v>21</v>
      </c>
      <c r="M15" s="3" t="s">
        <v>39</v>
      </c>
      <c r="N15" s="3" t="s">
        <v>40</v>
      </c>
    </row>
    <row r="16" customFormat="false" ht="15" hidden="false" customHeight="false" outlineLevel="0" collapsed="false">
      <c r="A16" s="2" t="n">
        <v>45457</v>
      </c>
      <c r="B16" s="3" t="n">
        <v>2024</v>
      </c>
      <c r="C16" s="3" t="n">
        <v>24</v>
      </c>
      <c r="D16" s="3" t="s">
        <v>55</v>
      </c>
      <c r="E16" s="3" t="s">
        <v>57</v>
      </c>
      <c r="F16" s="3" t="s">
        <v>58</v>
      </c>
      <c r="G16" s="3" t="s">
        <v>59</v>
      </c>
      <c r="H16" s="3" t="s">
        <v>60</v>
      </c>
      <c r="I16" s="3" t="s">
        <v>60</v>
      </c>
      <c r="J16" s="5" t="s">
        <v>28</v>
      </c>
      <c r="K16" s="3"/>
      <c r="L16" s="3" t="s">
        <v>21</v>
      </c>
      <c r="M16" s="3"/>
      <c r="N16" s="3" t="s">
        <v>61</v>
      </c>
    </row>
    <row r="17" customFormat="false" ht="15" hidden="false" customHeight="false" outlineLevel="0" collapsed="false">
      <c r="A17" s="2" t="n">
        <v>45462</v>
      </c>
      <c r="B17" s="3" t="n">
        <v>2024</v>
      </c>
      <c r="C17" s="3" t="n">
        <v>25</v>
      </c>
      <c r="D17" s="3" t="s">
        <v>62</v>
      </c>
      <c r="E17" s="3" t="s">
        <v>63</v>
      </c>
      <c r="F17" s="3" t="s">
        <v>64</v>
      </c>
      <c r="G17" s="3" t="s">
        <v>65</v>
      </c>
      <c r="H17" s="3" t="s">
        <v>66</v>
      </c>
      <c r="I17" s="3" t="s">
        <v>66</v>
      </c>
      <c r="J17" s="5" t="s">
        <v>28</v>
      </c>
      <c r="K17" s="3"/>
      <c r="L17" s="3" t="s">
        <v>21</v>
      </c>
      <c r="M17" s="3"/>
      <c r="N17" s="3" t="s">
        <v>67</v>
      </c>
    </row>
    <row r="18" customFormat="false" ht="15" hidden="false" customHeight="false" outlineLevel="0" collapsed="false">
      <c r="A18" s="2" t="n">
        <v>45465</v>
      </c>
      <c r="B18" s="3" t="n">
        <v>2024</v>
      </c>
      <c r="C18" s="3" t="n">
        <v>25</v>
      </c>
      <c r="D18" s="3" t="s">
        <v>62</v>
      </c>
      <c r="E18" s="3" t="s">
        <v>15</v>
      </c>
      <c r="F18" s="3" t="s">
        <v>68</v>
      </c>
      <c r="G18" s="3" t="s">
        <v>17</v>
      </c>
      <c r="H18" s="3" t="s">
        <v>18</v>
      </c>
      <c r="I18" s="3" t="s">
        <v>19</v>
      </c>
      <c r="J18" s="4" t="s">
        <v>20</v>
      </c>
      <c r="K18" s="3" t="n">
        <v>20818</v>
      </c>
      <c r="L18" s="3" t="s">
        <v>21</v>
      </c>
      <c r="M18" s="3"/>
      <c r="N18" s="3" t="s">
        <v>22</v>
      </c>
    </row>
    <row r="19" customFormat="false" ht="15" hidden="false" customHeight="false" outlineLevel="0" collapsed="false">
      <c r="A19" s="2" t="n">
        <v>45468</v>
      </c>
      <c r="B19" s="3" t="n">
        <v>2024</v>
      </c>
      <c r="C19" s="3" t="n">
        <v>26</v>
      </c>
      <c r="D19" s="3" t="s">
        <v>69</v>
      </c>
      <c r="E19" s="3" t="s">
        <v>35</v>
      </c>
      <c r="F19" s="3" t="s">
        <v>36</v>
      </c>
      <c r="G19" s="3" t="s">
        <v>37</v>
      </c>
      <c r="H19" s="3" t="s">
        <v>38</v>
      </c>
      <c r="I19" s="3" t="s">
        <v>19</v>
      </c>
      <c r="J19" s="4" t="s">
        <v>20</v>
      </c>
      <c r="K19" s="3"/>
      <c r="L19" s="3" t="s">
        <v>21</v>
      </c>
      <c r="M19" s="3" t="s">
        <v>39</v>
      </c>
      <c r="N19" s="3" t="s">
        <v>40</v>
      </c>
    </row>
    <row r="20" customFormat="false" ht="15" hidden="false" customHeight="false" outlineLevel="0" collapsed="false">
      <c r="A20" s="2" t="n">
        <v>45471</v>
      </c>
      <c r="B20" s="3" t="n">
        <v>2024</v>
      </c>
      <c r="C20" s="3" t="n">
        <v>26</v>
      </c>
      <c r="D20" s="3" t="s">
        <v>69</v>
      </c>
      <c r="E20" s="3" t="s">
        <v>57</v>
      </c>
      <c r="F20" s="3" t="s">
        <v>70</v>
      </c>
      <c r="G20" s="3" t="s">
        <v>59</v>
      </c>
      <c r="H20" s="3" t="s">
        <v>71</v>
      </c>
      <c r="I20" s="3" t="s">
        <v>71</v>
      </c>
      <c r="J20" s="5" t="s">
        <v>28</v>
      </c>
      <c r="K20" s="3" t="n">
        <v>200000</v>
      </c>
      <c r="L20" s="3" t="s">
        <v>21</v>
      </c>
      <c r="M20" s="3"/>
      <c r="N20" s="3" t="s">
        <v>61</v>
      </c>
    </row>
    <row r="21" customFormat="false" ht="15" hidden="false" customHeight="false" outlineLevel="0" collapsed="false">
      <c r="A21" s="2" t="n">
        <v>45476</v>
      </c>
      <c r="B21" s="3" t="n">
        <v>2024</v>
      </c>
      <c r="C21" s="3" t="n">
        <v>27</v>
      </c>
      <c r="D21" s="3" t="s">
        <v>72</v>
      </c>
      <c r="E21" s="3" t="s">
        <v>63</v>
      </c>
      <c r="F21" s="3" t="s">
        <v>73</v>
      </c>
      <c r="G21" s="3" t="s">
        <v>59</v>
      </c>
      <c r="H21" s="3" t="s">
        <v>60</v>
      </c>
      <c r="I21" s="3" t="s">
        <v>60</v>
      </c>
      <c r="J21" s="5" t="s">
        <v>28</v>
      </c>
      <c r="K21" s="3" t="n">
        <v>400000</v>
      </c>
      <c r="L21" s="3" t="s">
        <v>21</v>
      </c>
      <c r="M21" s="3"/>
      <c r="N21" s="3" t="s">
        <v>74</v>
      </c>
    </row>
    <row r="22" customFormat="false" ht="15" hidden="false" customHeight="false" outlineLevel="0" collapsed="false">
      <c r="A22" s="2" t="n">
        <v>45477</v>
      </c>
      <c r="B22" s="3" t="n">
        <v>2024</v>
      </c>
      <c r="C22" s="3" t="n">
        <v>27</v>
      </c>
      <c r="D22" s="3" t="s">
        <v>72</v>
      </c>
      <c r="E22" s="3" t="s">
        <v>24</v>
      </c>
      <c r="F22" s="3" t="s">
        <v>75</v>
      </c>
      <c r="G22" s="3" t="s">
        <v>17</v>
      </c>
      <c r="H22" s="3" t="s">
        <v>18</v>
      </c>
      <c r="I22" s="3" t="s">
        <v>19</v>
      </c>
      <c r="J22" s="4" t="s">
        <v>20</v>
      </c>
      <c r="K22" s="3" t="n">
        <v>20411</v>
      </c>
      <c r="L22" s="3" t="s">
        <v>21</v>
      </c>
      <c r="M22" s="3"/>
      <c r="N22" s="3" t="s">
        <v>22</v>
      </c>
    </row>
    <row r="23" customFormat="false" ht="15" hidden="false" customHeight="false" outlineLevel="0" collapsed="false">
      <c r="A23" s="2" t="n">
        <v>45477</v>
      </c>
      <c r="B23" s="3" t="n">
        <v>2024</v>
      </c>
      <c r="C23" s="3" t="n">
        <v>27</v>
      </c>
      <c r="D23" s="3" t="s">
        <v>72</v>
      </c>
      <c r="E23" s="3" t="s">
        <v>24</v>
      </c>
      <c r="F23" s="3" t="s">
        <v>76</v>
      </c>
      <c r="G23" s="3" t="s">
        <v>37</v>
      </c>
      <c r="H23" s="3" t="s">
        <v>38</v>
      </c>
      <c r="I23" s="3" t="s">
        <v>19</v>
      </c>
      <c r="J23" s="4" t="s">
        <v>20</v>
      </c>
      <c r="K23" s="3"/>
      <c r="L23" s="3" t="s">
        <v>21</v>
      </c>
      <c r="M23" s="3" t="s">
        <v>77</v>
      </c>
      <c r="N23" s="3" t="s">
        <v>40</v>
      </c>
    </row>
    <row r="24" customFormat="false" ht="15" hidden="false" customHeight="false" outlineLevel="0" collapsed="false">
      <c r="A24" s="2" t="n">
        <v>45477</v>
      </c>
      <c r="B24" s="3" t="n">
        <v>2024</v>
      </c>
      <c r="C24" s="3" t="n">
        <v>27</v>
      </c>
      <c r="D24" s="3" t="s">
        <v>72</v>
      </c>
      <c r="E24" s="3" t="s">
        <v>24</v>
      </c>
      <c r="F24" s="3" t="s">
        <v>78</v>
      </c>
      <c r="G24" s="3" t="s">
        <v>79</v>
      </c>
      <c r="H24" s="3" t="s">
        <v>80</v>
      </c>
      <c r="I24" s="3" t="s">
        <v>80</v>
      </c>
      <c r="J24" s="5" t="s">
        <v>28</v>
      </c>
      <c r="K24" s="3"/>
      <c r="L24" s="3" t="s">
        <v>21</v>
      </c>
      <c r="M24" s="3"/>
      <c r="N24" s="3" t="s">
        <v>81</v>
      </c>
    </row>
    <row r="25" customFormat="false" ht="15" hidden="false" customHeight="false" outlineLevel="0" collapsed="false">
      <c r="A25" s="2" t="n">
        <v>45479</v>
      </c>
      <c r="B25" s="3" t="n">
        <v>2024</v>
      </c>
      <c r="C25" s="3" t="n">
        <v>27</v>
      </c>
      <c r="D25" s="3" t="s">
        <v>72</v>
      </c>
      <c r="E25" s="3" t="s">
        <v>15</v>
      </c>
      <c r="F25" s="3" t="s">
        <v>82</v>
      </c>
      <c r="G25" s="3" t="s">
        <v>17</v>
      </c>
      <c r="H25" s="3" t="s">
        <v>18</v>
      </c>
      <c r="I25" s="3" t="s">
        <v>19</v>
      </c>
      <c r="J25" s="4" t="s">
        <v>20</v>
      </c>
      <c r="K25" s="3" t="n">
        <v>20547</v>
      </c>
      <c r="L25" s="3" t="s">
        <v>21</v>
      </c>
      <c r="M25" s="3"/>
      <c r="N25" s="3" t="s">
        <v>22</v>
      </c>
    </row>
    <row r="26" customFormat="false" ht="15" hidden="false" customHeight="false" outlineLevel="0" collapsed="false">
      <c r="A26" s="2" t="n">
        <v>45490</v>
      </c>
      <c r="B26" s="3" t="n">
        <v>2024</v>
      </c>
      <c r="C26" s="3" t="n">
        <v>29</v>
      </c>
      <c r="D26" s="3" t="s">
        <v>83</v>
      </c>
      <c r="E26" s="3" t="s">
        <v>63</v>
      </c>
      <c r="F26" s="3" t="s">
        <v>84</v>
      </c>
      <c r="G26" s="3" t="s">
        <v>17</v>
      </c>
      <c r="H26" s="3" t="s">
        <v>18</v>
      </c>
      <c r="I26" s="3" t="s">
        <v>19</v>
      </c>
      <c r="J26" s="4" t="s">
        <v>20</v>
      </c>
      <c r="K26" s="3" t="n">
        <v>20793</v>
      </c>
      <c r="L26" s="3" t="s">
        <v>21</v>
      </c>
      <c r="M26" s="3"/>
      <c r="N26" s="3" t="s">
        <v>22</v>
      </c>
    </row>
    <row r="27" customFormat="false" ht="15" hidden="false" customHeight="false" outlineLevel="0" collapsed="false">
      <c r="A27" s="2" t="n">
        <v>45492</v>
      </c>
      <c r="B27" s="3" t="n">
        <v>2024</v>
      </c>
      <c r="C27" s="3" t="n">
        <v>29</v>
      </c>
      <c r="D27" s="3" t="s">
        <v>83</v>
      </c>
      <c r="E27" s="3" t="s">
        <v>57</v>
      </c>
      <c r="F27" s="3" t="s">
        <v>85</v>
      </c>
      <c r="G27" s="3" t="s">
        <v>86</v>
      </c>
      <c r="H27" s="3" t="s">
        <v>87</v>
      </c>
      <c r="I27" s="3" t="s">
        <v>87</v>
      </c>
      <c r="J27" s="5" t="s">
        <v>28</v>
      </c>
      <c r="K27" s="3"/>
      <c r="L27" s="3" t="s">
        <v>21</v>
      </c>
      <c r="M27" s="3" t="s">
        <v>88</v>
      </c>
      <c r="N27" s="3" t="s">
        <v>89</v>
      </c>
    </row>
    <row r="28" customFormat="false" ht="15" hidden="false" customHeight="false" outlineLevel="0" collapsed="false">
      <c r="A28" s="2" t="n">
        <v>45496</v>
      </c>
      <c r="B28" s="3" t="n">
        <v>2024</v>
      </c>
      <c r="C28" s="3" t="n">
        <v>30</v>
      </c>
      <c r="D28" s="3" t="s">
        <v>90</v>
      </c>
      <c r="E28" s="3" t="s">
        <v>35</v>
      </c>
      <c r="F28" s="3" t="s">
        <v>91</v>
      </c>
      <c r="G28" s="3" t="s">
        <v>37</v>
      </c>
      <c r="H28" s="3" t="s">
        <v>38</v>
      </c>
      <c r="I28" s="3" t="s">
        <v>19</v>
      </c>
      <c r="J28" s="4" t="s">
        <v>20</v>
      </c>
      <c r="K28" s="3"/>
      <c r="L28" s="3" t="s">
        <v>21</v>
      </c>
      <c r="M28" s="3" t="s">
        <v>39</v>
      </c>
      <c r="N28" s="3" t="s">
        <v>40</v>
      </c>
    </row>
    <row r="29" customFormat="false" ht="15" hidden="false" customHeight="false" outlineLevel="0" collapsed="false">
      <c r="A29" s="2" t="n">
        <v>45497</v>
      </c>
      <c r="B29" s="3" t="n">
        <v>2024</v>
      </c>
      <c r="C29" s="3" t="n">
        <v>30</v>
      </c>
      <c r="D29" s="3" t="s">
        <v>90</v>
      </c>
      <c r="E29" s="3" t="s">
        <v>63</v>
      </c>
      <c r="F29" s="3" t="s">
        <v>92</v>
      </c>
      <c r="G29" s="3" t="s">
        <v>59</v>
      </c>
      <c r="H29" s="3" t="s">
        <v>93</v>
      </c>
      <c r="I29" s="3" t="s">
        <v>93</v>
      </c>
      <c r="J29" s="5" t="s">
        <v>28</v>
      </c>
      <c r="K29" s="3" t="n">
        <v>800000</v>
      </c>
      <c r="L29" s="3" t="s">
        <v>21</v>
      </c>
      <c r="M29" s="3" t="s">
        <v>94</v>
      </c>
      <c r="N29" s="3" t="s">
        <v>29</v>
      </c>
    </row>
    <row r="30" customFormat="false" ht="15" hidden="false" customHeight="false" outlineLevel="0" collapsed="false">
      <c r="A30" s="2" t="n">
        <v>45503</v>
      </c>
      <c r="B30" s="3" t="n">
        <v>2024</v>
      </c>
      <c r="C30" s="3" t="n">
        <v>31</v>
      </c>
      <c r="D30" s="3" t="s">
        <v>95</v>
      </c>
      <c r="E30" s="3" t="s">
        <v>35</v>
      </c>
      <c r="F30" s="3" t="s">
        <v>96</v>
      </c>
      <c r="G30" s="3" t="s">
        <v>37</v>
      </c>
      <c r="H30" s="3" t="s">
        <v>38</v>
      </c>
      <c r="I30" s="3" t="s">
        <v>19</v>
      </c>
      <c r="J30" s="4" t="s">
        <v>20</v>
      </c>
      <c r="K30" s="3"/>
      <c r="L30" s="3" t="s">
        <v>21</v>
      </c>
      <c r="M30" s="3" t="s">
        <v>39</v>
      </c>
      <c r="N30" s="3" t="s">
        <v>40</v>
      </c>
    </row>
    <row r="31" customFormat="false" ht="15" hidden="false" customHeight="false" outlineLevel="0" collapsed="false">
      <c r="A31" s="2" t="n">
        <v>45524</v>
      </c>
      <c r="B31" s="3" t="n">
        <v>2024</v>
      </c>
      <c r="C31" s="3" t="n">
        <v>34</v>
      </c>
      <c r="D31" s="3" t="s">
        <v>97</v>
      </c>
      <c r="E31" s="3" t="s">
        <v>35</v>
      </c>
      <c r="F31" s="3" t="s">
        <v>98</v>
      </c>
      <c r="G31" s="3" t="s">
        <v>37</v>
      </c>
      <c r="H31" s="3" t="s">
        <v>38</v>
      </c>
      <c r="I31" s="3" t="s">
        <v>19</v>
      </c>
      <c r="J31" s="4" t="s">
        <v>20</v>
      </c>
      <c r="K31" s="3"/>
      <c r="L31" s="3" t="s">
        <v>21</v>
      </c>
      <c r="M31" s="3" t="s">
        <v>39</v>
      </c>
      <c r="N31" s="3" t="s">
        <v>40</v>
      </c>
    </row>
    <row r="32" customFormat="false" ht="15" hidden="false" customHeight="false" outlineLevel="0" collapsed="false">
      <c r="A32" s="2" t="n">
        <v>45535</v>
      </c>
      <c r="B32" s="3" t="n">
        <v>2024</v>
      </c>
      <c r="C32" s="3" t="n">
        <v>35</v>
      </c>
      <c r="D32" s="3" t="s">
        <v>99</v>
      </c>
      <c r="E32" s="3" t="s">
        <v>15</v>
      </c>
      <c r="F32" s="3" t="s">
        <v>100</v>
      </c>
      <c r="G32" s="3" t="s">
        <v>101</v>
      </c>
      <c r="H32" s="3" t="s">
        <v>102</v>
      </c>
      <c r="I32" s="3" t="s">
        <v>103</v>
      </c>
      <c r="J32" s="4" t="s">
        <v>20</v>
      </c>
      <c r="K32" s="3" t="n">
        <v>102011</v>
      </c>
      <c r="L32" s="3" t="s">
        <v>21</v>
      </c>
      <c r="M32" s="3" t="s">
        <v>104</v>
      </c>
      <c r="N32" s="3" t="s">
        <v>105</v>
      </c>
    </row>
    <row r="33" customFormat="false" ht="15" hidden="false" customHeight="false" outlineLevel="0" collapsed="false">
      <c r="A33" s="2" t="n">
        <v>45535</v>
      </c>
      <c r="B33" s="3" t="n">
        <v>2024</v>
      </c>
      <c r="C33" s="3" t="n">
        <v>35</v>
      </c>
      <c r="D33" s="3" t="s">
        <v>99</v>
      </c>
      <c r="E33" s="3" t="s">
        <v>15</v>
      </c>
      <c r="F33" s="3" t="s">
        <v>106</v>
      </c>
      <c r="G33" s="3" t="s">
        <v>17</v>
      </c>
      <c r="H33" s="3" t="s">
        <v>18</v>
      </c>
      <c r="I33" s="3" t="s">
        <v>19</v>
      </c>
      <c r="J33" s="4" t="s">
        <v>20</v>
      </c>
      <c r="K33" s="3" t="n">
        <v>20618</v>
      </c>
      <c r="L33" s="3" t="s">
        <v>21</v>
      </c>
      <c r="M33" s="3"/>
      <c r="N33" s="3" t="s">
        <v>22</v>
      </c>
    </row>
    <row r="34" customFormat="false" ht="15" hidden="false" customHeight="false" outlineLevel="0" collapsed="false">
      <c r="A34" s="2" t="n">
        <v>45537</v>
      </c>
      <c r="B34" s="3" t="n">
        <v>2024</v>
      </c>
      <c r="C34" s="3" t="n">
        <v>36</v>
      </c>
      <c r="D34" s="3" t="s">
        <v>107</v>
      </c>
      <c r="E34" s="3" t="s">
        <v>108</v>
      </c>
      <c r="F34" s="3" t="s">
        <v>109</v>
      </c>
      <c r="G34" s="3" t="s">
        <v>37</v>
      </c>
      <c r="H34" s="3" t="s">
        <v>38</v>
      </c>
      <c r="I34" s="3" t="s">
        <v>19</v>
      </c>
      <c r="J34" s="4" t="s">
        <v>20</v>
      </c>
      <c r="K34" s="3"/>
      <c r="L34" s="3" t="s">
        <v>21</v>
      </c>
      <c r="M34" s="3" t="s">
        <v>110</v>
      </c>
      <c r="N34" s="3" t="s">
        <v>40</v>
      </c>
    </row>
    <row r="35" customFormat="false" ht="15" hidden="false" customHeight="false" outlineLevel="0" collapsed="false">
      <c r="A35" s="2" t="n">
        <v>45542</v>
      </c>
      <c r="B35" s="3" t="n">
        <v>2024</v>
      </c>
      <c r="C35" s="3" t="n">
        <v>36</v>
      </c>
      <c r="D35" s="3" t="s">
        <v>107</v>
      </c>
      <c r="E35" s="3" t="s">
        <v>15</v>
      </c>
      <c r="F35" s="3" t="s">
        <v>111</v>
      </c>
      <c r="G35" s="3" t="s">
        <v>101</v>
      </c>
      <c r="H35" s="3" t="s">
        <v>102</v>
      </c>
      <c r="I35" s="3" t="s">
        <v>103</v>
      </c>
      <c r="J35" s="4" t="s">
        <v>20</v>
      </c>
      <c r="K35" s="3" t="n">
        <v>102665</v>
      </c>
      <c r="L35" s="3" t="s">
        <v>21</v>
      </c>
      <c r="M35" s="3" t="s">
        <v>104</v>
      </c>
      <c r="N35" s="3" t="s">
        <v>105</v>
      </c>
    </row>
    <row r="36" customFormat="false" ht="15" hidden="false" customHeight="false" outlineLevel="0" collapsed="false">
      <c r="A36" s="2" t="n">
        <v>45542</v>
      </c>
      <c r="B36" s="3" t="n">
        <v>2024</v>
      </c>
      <c r="C36" s="3" t="n">
        <v>36</v>
      </c>
      <c r="D36" s="3" t="s">
        <v>107</v>
      </c>
      <c r="E36" s="3" t="s">
        <v>15</v>
      </c>
      <c r="F36" s="3" t="s">
        <v>112</v>
      </c>
      <c r="G36" s="3" t="s">
        <v>17</v>
      </c>
      <c r="H36" s="3" t="s">
        <v>18</v>
      </c>
      <c r="I36" s="3" t="s">
        <v>19</v>
      </c>
      <c r="J36" s="4" t="s">
        <v>20</v>
      </c>
      <c r="K36" s="3" t="n">
        <v>20523</v>
      </c>
      <c r="L36" s="3" t="s">
        <v>21</v>
      </c>
      <c r="M36" s="3"/>
      <c r="N36" s="3" t="s">
        <v>22</v>
      </c>
    </row>
    <row r="37" customFormat="false" ht="15" hidden="false" customHeight="false" outlineLevel="0" collapsed="false">
      <c r="A37" s="2" t="n">
        <v>45545</v>
      </c>
      <c r="B37" s="3" t="n">
        <v>2024</v>
      </c>
      <c r="C37" s="3" t="n">
        <v>37</v>
      </c>
      <c r="D37" s="3" t="s">
        <v>113</v>
      </c>
      <c r="E37" s="3" t="s">
        <v>35</v>
      </c>
      <c r="F37" s="3" t="s">
        <v>114</v>
      </c>
      <c r="G37" s="3" t="s">
        <v>37</v>
      </c>
      <c r="H37" s="3" t="s">
        <v>38</v>
      </c>
      <c r="I37" s="3" t="s">
        <v>19</v>
      </c>
      <c r="J37" s="4" t="s">
        <v>20</v>
      </c>
      <c r="K37" s="3"/>
      <c r="L37" s="3" t="s">
        <v>21</v>
      </c>
      <c r="M37" s="3" t="s">
        <v>39</v>
      </c>
      <c r="N37" s="3" t="s">
        <v>40</v>
      </c>
    </row>
    <row r="38" customFormat="false" ht="15" hidden="false" customHeight="false" outlineLevel="0" collapsed="false">
      <c r="A38" s="2" t="n">
        <v>45556</v>
      </c>
      <c r="B38" s="3" t="n">
        <v>2024</v>
      </c>
      <c r="C38" s="3" t="n">
        <v>38</v>
      </c>
      <c r="D38" s="3" t="s">
        <v>115</v>
      </c>
      <c r="E38" s="3" t="s">
        <v>15</v>
      </c>
      <c r="F38" s="3" t="s">
        <v>116</v>
      </c>
      <c r="G38" s="3" t="s">
        <v>101</v>
      </c>
      <c r="H38" s="3" t="s">
        <v>102</v>
      </c>
      <c r="I38" s="3" t="s">
        <v>103</v>
      </c>
      <c r="J38" s="4" t="s">
        <v>20</v>
      </c>
      <c r="K38" s="3" t="n">
        <v>103871</v>
      </c>
      <c r="L38" s="3" t="s">
        <v>21</v>
      </c>
      <c r="M38" s="3" t="s">
        <v>104</v>
      </c>
      <c r="N38" s="3" t="s">
        <v>105</v>
      </c>
    </row>
    <row r="39" customFormat="false" ht="15" hidden="false" customHeight="false" outlineLevel="0" collapsed="false">
      <c r="A39" s="2" t="n">
        <v>45556</v>
      </c>
      <c r="B39" s="3" t="n">
        <v>2024</v>
      </c>
      <c r="C39" s="3" t="n">
        <v>38</v>
      </c>
      <c r="D39" s="3" t="s">
        <v>115</v>
      </c>
      <c r="E39" s="3" t="s">
        <v>15</v>
      </c>
      <c r="F39" s="3" t="s">
        <v>117</v>
      </c>
      <c r="G39" s="3" t="s">
        <v>17</v>
      </c>
      <c r="H39" s="3" t="s">
        <v>18</v>
      </c>
      <c r="I39" s="3" t="s">
        <v>19</v>
      </c>
      <c r="J39" s="4" t="s">
        <v>20</v>
      </c>
      <c r="K39" s="3" t="n">
        <v>20868</v>
      </c>
      <c r="L39" s="3" t="s">
        <v>21</v>
      </c>
      <c r="M39" s="3"/>
      <c r="N39" s="3" t="s">
        <v>22</v>
      </c>
    </row>
    <row r="40" customFormat="false" ht="15" hidden="false" customHeight="false" outlineLevel="0" collapsed="false">
      <c r="A40" s="2" t="n">
        <v>45567</v>
      </c>
      <c r="B40" s="3" t="n">
        <v>2024</v>
      </c>
      <c r="C40" s="3" t="n">
        <v>40</v>
      </c>
      <c r="D40" s="3" t="s">
        <v>118</v>
      </c>
      <c r="E40" s="3" t="s">
        <v>63</v>
      </c>
      <c r="F40" s="3" t="s">
        <v>119</v>
      </c>
      <c r="G40" s="3" t="s">
        <v>17</v>
      </c>
      <c r="H40" s="3" t="s">
        <v>18</v>
      </c>
      <c r="I40" s="3" t="s">
        <v>19</v>
      </c>
      <c r="J40" s="4" t="s">
        <v>20</v>
      </c>
      <c r="K40" s="3" t="n">
        <v>20815</v>
      </c>
      <c r="L40" s="3" t="s">
        <v>21</v>
      </c>
      <c r="M40" s="3"/>
      <c r="N40" s="3" t="s">
        <v>22</v>
      </c>
    </row>
    <row r="41" customFormat="false" ht="15" hidden="false" customHeight="false" outlineLevel="0" collapsed="false">
      <c r="A41" s="2" t="n">
        <v>45570</v>
      </c>
      <c r="B41" s="3" t="n">
        <v>2024</v>
      </c>
      <c r="C41" s="3" t="n">
        <v>40</v>
      </c>
      <c r="D41" s="3" t="s">
        <v>118</v>
      </c>
      <c r="E41" s="3" t="s">
        <v>15</v>
      </c>
      <c r="F41" s="3" t="s">
        <v>120</v>
      </c>
      <c r="G41" s="3" t="s">
        <v>101</v>
      </c>
      <c r="H41" s="3" t="s">
        <v>102</v>
      </c>
      <c r="I41" s="3" t="s">
        <v>103</v>
      </c>
      <c r="J41" s="4" t="s">
        <v>20</v>
      </c>
      <c r="K41" s="3" t="n">
        <v>104848</v>
      </c>
      <c r="L41" s="3" t="s">
        <v>21</v>
      </c>
      <c r="M41" s="3" t="s">
        <v>104</v>
      </c>
      <c r="N41" s="3" t="s">
        <v>105</v>
      </c>
    </row>
    <row r="42" customFormat="false" ht="15" hidden="false" customHeight="false" outlineLevel="0" collapsed="false">
      <c r="A42" s="2" t="n">
        <v>45570</v>
      </c>
      <c r="B42" s="3" t="n">
        <v>2024</v>
      </c>
      <c r="C42" s="3" t="n">
        <v>40</v>
      </c>
      <c r="D42" s="3" t="s">
        <v>118</v>
      </c>
      <c r="E42" s="3" t="s">
        <v>15</v>
      </c>
      <c r="F42" s="3" t="s">
        <v>121</v>
      </c>
      <c r="G42" s="3" t="s">
        <v>17</v>
      </c>
      <c r="H42" s="3" t="s">
        <v>18</v>
      </c>
      <c r="I42" s="3" t="s">
        <v>19</v>
      </c>
      <c r="J42" s="4" t="s">
        <v>20</v>
      </c>
      <c r="K42" s="3" t="n">
        <v>20788</v>
      </c>
      <c r="L42" s="3" t="s">
        <v>21</v>
      </c>
      <c r="M42" s="3"/>
      <c r="N42" s="3" t="s">
        <v>22</v>
      </c>
    </row>
    <row r="43" customFormat="false" ht="15" hidden="false" customHeight="false" outlineLevel="0" collapsed="false">
      <c r="A43" s="2" t="n">
        <v>45577</v>
      </c>
      <c r="B43" s="3" t="n">
        <v>2024</v>
      </c>
      <c r="C43" s="3" t="n">
        <v>41</v>
      </c>
      <c r="D43" s="3" t="s">
        <v>122</v>
      </c>
      <c r="E43" s="3" t="s">
        <v>15</v>
      </c>
      <c r="F43" s="3" t="s">
        <v>123</v>
      </c>
      <c r="G43" s="3" t="s">
        <v>17</v>
      </c>
      <c r="H43" s="3" t="s">
        <v>18</v>
      </c>
      <c r="I43" s="3" t="s">
        <v>19</v>
      </c>
      <c r="J43" s="4" t="s">
        <v>20</v>
      </c>
      <c r="K43" s="3" t="n">
        <v>20439</v>
      </c>
      <c r="L43" s="3" t="s">
        <v>21</v>
      </c>
      <c r="M43" s="3"/>
      <c r="N43" s="3" t="s">
        <v>22</v>
      </c>
    </row>
    <row r="44" customFormat="false" ht="15" hidden="false" customHeight="false" outlineLevel="0" collapsed="false">
      <c r="A44" s="2" t="n">
        <v>45580</v>
      </c>
      <c r="B44" s="3" t="n">
        <v>2024</v>
      </c>
      <c r="C44" s="3" t="n">
        <v>42</v>
      </c>
      <c r="D44" s="3" t="s">
        <v>124</v>
      </c>
      <c r="E44" s="3" t="s">
        <v>35</v>
      </c>
      <c r="F44" s="3" t="s">
        <v>125</v>
      </c>
      <c r="G44" s="3" t="s">
        <v>126</v>
      </c>
      <c r="H44" s="3" t="s">
        <v>127</v>
      </c>
      <c r="I44" s="3" t="s">
        <v>19</v>
      </c>
      <c r="J44" s="4" t="s">
        <v>20</v>
      </c>
      <c r="K44" s="3" t="n">
        <v>18484</v>
      </c>
      <c r="L44" s="3" t="s">
        <v>21</v>
      </c>
      <c r="M44" s="3"/>
      <c r="N44" s="3" t="s">
        <v>128</v>
      </c>
    </row>
    <row r="45" customFormat="false" ht="15" hidden="false" customHeight="false" outlineLevel="0" collapsed="false">
      <c r="A45" s="2" t="n">
        <v>45582</v>
      </c>
      <c r="B45" s="3" t="n">
        <v>2024</v>
      </c>
      <c r="C45" s="3" t="n">
        <v>42</v>
      </c>
      <c r="D45" s="3" t="s">
        <v>124</v>
      </c>
      <c r="E45" s="3" t="s">
        <v>24</v>
      </c>
      <c r="F45" s="3" t="s">
        <v>129</v>
      </c>
      <c r="G45" s="3" t="s">
        <v>126</v>
      </c>
      <c r="H45" s="3" t="s">
        <v>127</v>
      </c>
      <c r="I45" s="3" t="s">
        <v>19</v>
      </c>
      <c r="J45" s="4" t="s">
        <v>20</v>
      </c>
      <c r="K45" s="3" t="n">
        <v>16126</v>
      </c>
      <c r="L45" s="3" t="s">
        <v>21</v>
      </c>
      <c r="M45" s="3"/>
      <c r="N45" s="3" t="s">
        <v>128</v>
      </c>
    </row>
    <row r="46" customFormat="false" ht="15" hidden="false" customHeight="false" outlineLevel="0" collapsed="false">
      <c r="A46" s="2" t="n">
        <v>45584</v>
      </c>
      <c r="B46" s="3" t="n">
        <v>2024</v>
      </c>
      <c r="C46" s="3" t="n">
        <v>42</v>
      </c>
      <c r="D46" s="3" t="s">
        <v>124</v>
      </c>
      <c r="E46" s="3" t="s">
        <v>15</v>
      </c>
      <c r="F46" s="3" t="s">
        <v>130</v>
      </c>
      <c r="G46" s="3" t="s">
        <v>126</v>
      </c>
      <c r="H46" s="3" t="s">
        <v>127</v>
      </c>
      <c r="I46" s="3" t="s">
        <v>19</v>
      </c>
      <c r="J46" s="4" t="s">
        <v>20</v>
      </c>
      <c r="K46" s="3" t="n">
        <v>16876</v>
      </c>
      <c r="L46" s="3" t="s">
        <v>21</v>
      </c>
      <c r="M46" s="3"/>
      <c r="N46" s="3" t="s">
        <v>128</v>
      </c>
    </row>
    <row r="47" customFormat="false" ht="15" hidden="false" customHeight="false" outlineLevel="0" collapsed="false">
      <c r="A47" s="2" t="n">
        <v>45585</v>
      </c>
      <c r="B47" s="3" t="n">
        <v>2024</v>
      </c>
      <c r="C47" s="3" t="n">
        <v>42</v>
      </c>
      <c r="D47" s="3" t="s">
        <v>124</v>
      </c>
      <c r="E47" s="3" t="s">
        <v>131</v>
      </c>
      <c r="F47" s="3" t="s">
        <v>132</v>
      </c>
      <c r="G47" s="3" t="s">
        <v>133</v>
      </c>
      <c r="H47" s="3" t="s">
        <v>60</v>
      </c>
      <c r="I47" s="3" t="s">
        <v>60</v>
      </c>
      <c r="J47" s="5" t="s">
        <v>28</v>
      </c>
      <c r="K47" s="3" t="n">
        <v>15000</v>
      </c>
      <c r="L47" s="3" t="s">
        <v>21</v>
      </c>
      <c r="M47" s="3"/>
      <c r="N47" s="3" t="s">
        <v>134</v>
      </c>
    </row>
    <row r="48" customFormat="false" ht="15" hidden="false" customHeight="false" outlineLevel="0" collapsed="false">
      <c r="A48" s="2" t="n">
        <v>45587</v>
      </c>
      <c r="B48" s="3" t="n">
        <v>2024</v>
      </c>
      <c r="C48" s="3" t="n">
        <v>43</v>
      </c>
      <c r="D48" s="3" t="s">
        <v>135</v>
      </c>
      <c r="E48" s="3" t="s">
        <v>35</v>
      </c>
      <c r="F48" s="3" t="s">
        <v>136</v>
      </c>
      <c r="G48" s="3" t="s">
        <v>126</v>
      </c>
      <c r="H48" s="3" t="s">
        <v>127</v>
      </c>
      <c r="I48" s="3" t="s">
        <v>19</v>
      </c>
      <c r="J48" s="4" t="s">
        <v>20</v>
      </c>
      <c r="K48" s="3" t="n">
        <v>14852</v>
      </c>
      <c r="L48" s="3" t="s">
        <v>21</v>
      </c>
      <c r="M48" s="3"/>
      <c r="N48" s="3" t="s">
        <v>128</v>
      </c>
    </row>
    <row r="49" customFormat="false" ht="15" hidden="false" customHeight="false" outlineLevel="0" collapsed="false">
      <c r="A49" s="2" t="n">
        <v>45591</v>
      </c>
      <c r="B49" s="3" t="n">
        <v>2024</v>
      </c>
      <c r="C49" s="3" t="n">
        <v>43</v>
      </c>
      <c r="D49" s="3" t="s">
        <v>135</v>
      </c>
      <c r="E49" s="3" t="s">
        <v>15</v>
      </c>
      <c r="F49" s="3" t="s">
        <v>137</v>
      </c>
      <c r="G49" s="3" t="s">
        <v>101</v>
      </c>
      <c r="H49" s="3" t="s">
        <v>102</v>
      </c>
      <c r="I49" s="3" t="s">
        <v>103</v>
      </c>
      <c r="J49" s="4" t="s">
        <v>20</v>
      </c>
      <c r="K49" s="3" t="n">
        <v>104830</v>
      </c>
      <c r="L49" s="3" t="s">
        <v>21</v>
      </c>
      <c r="M49" s="3" t="s">
        <v>104</v>
      </c>
      <c r="N49" s="3" t="s">
        <v>105</v>
      </c>
    </row>
    <row r="50" customFormat="false" ht="15" hidden="false" customHeight="false" outlineLevel="0" collapsed="false">
      <c r="A50" s="2" t="n">
        <v>45593</v>
      </c>
      <c r="B50" s="3" t="n">
        <v>2024</v>
      </c>
      <c r="C50" s="3" t="n">
        <v>44</v>
      </c>
      <c r="D50" s="3" t="s">
        <v>138</v>
      </c>
      <c r="E50" s="3" t="s">
        <v>108</v>
      </c>
      <c r="F50" s="3" t="s">
        <v>139</v>
      </c>
      <c r="G50" s="3" t="s">
        <v>126</v>
      </c>
      <c r="H50" s="3" t="s">
        <v>127</v>
      </c>
      <c r="I50" s="3" t="s">
        <v>19</v>
      </c>
      <c r="J50" s="4" t="s">
        <v>20</v>
      </c>
      <c r="K50" s="3" t="n">
        <v>15237</v>
      </c>
      <c r="L50" s="3" t="s">
        <v>21</v>
      </c>
      <c r="M50" s="3"/>
      <c r="N50" s="3" t="s">
        <v>128</v>
      </c>
    </row>
    <row r="51" customFormat="false" ht="15" hidden="false" customHeight="false" outlineLevel="0" collapsed="false">
      <c r="A51" s="2" t="n">
        <v>45595</v>
      </c>
      <c r="B51" s="3" t="n">
        <v>2024</v>
      </c>
      <c r="C51" s="3" t="n">
        <v>44</v>
      </c>
      <c r="D51" s="3" t="s">
        <v>138</v>
      </c>
      <c r="E51" s="3" t="s">
        <v>63</v>
      </c>
      <c r="F51" s="3" t="s">
        <v>140</v>
      </c>
      <c r="G51" s="3" t="s">
        <v>126</v>
      </c>
      <c r="H51" s="3" t="s">
        <v>127</v>
      </c>
      <c r="I51" s="3" t="s">
        <v>19</v>
      </c>
      <c r="J51" s="4" t="s">
        <v>20</v>
      </c>
      <c r="K51" s="3" t="n">
        <v>14015</v>
      </c>
      <c r="L51" s="3" t="s">
        <v>21</v>
      </c>
      <c r="M51" s="3"/>
      <c r="N51" s="3" t="s">
        <v>128</v>
      </c>
    </row>
    <row r="52" customFormat="false" ht="15" hidden="false" customHeight="false" outlineLevel="0" collapsed="false">
      <c r="A52" s="2" t="n">
        <v>45597</v>
      </c>
      <c r="B52" s="3" t="n">
        <v>2024</v>
      </c>
      <c r="C52" s="3" t="n">
        <v>44</v>
      </c>
      <c r="D52" s="3" t="s">
        <v>138</v>
      </c>
      <c r="E52" s="3" t="s">
        <v>57</v>
      </c>
      <c r="F52" s="3" t="s">
        <v>141</v>
      </c>
      <c r="G52" s="3" t="s">
        <v>126</v>
      </c>
      <c r="H52" s="3" t="s">
        <v>127</v>
      </c>
      <c r="I52" s="3" t="s">
        <v>19</v>
      </c>
      <c r="J52" s="4" t="s">
        <v>20</v>
      </c>
      <c r="K52" s="3" t="n">
        <v>15823</v>
      </c>
      <c r="L52" s="3" t="s">
        <v>21</v>
      </c>
      <c r="M52" s="3"/>
      <c r="N52" s="3" t="s">
        <v>128</v>
      </c>
    </row>
    <row r="53" customFormat="false" ht="15" hidden="false" customHeight="false" outlineLevel="0" collapsed="false">
      <c r="A53" s="2" t="n">
        <v>45605</v>
      </c>
      <c r="B53" s="3" t="n">
        <v>2024</v>
      </c>
      <c r="C53" s="3" t="n">
        <v>45</v>
      </c>
      <c r="D53" s="3" t="s">
        <v>142</v>
      </c>
      <c r="E53" s="3" t="s">
        <v>15</v>
      </c>
      <c r="F53" s="3" t="s">
        <v>143</v>
      </c>
      <c r="G53" s="3" t="s">
        <v>101</v>
      </c>
      <c r="H53" s="3" t="s">
        <v>102</v>
      </c>
      <c r="I53" s="3" t="s">
        <v>103</v>
      </c>
      <c r="J53" s="4" t="s">
        <v>20</v>
      </c>
      <c r="K53" s="3" t="n">
        <v>103463</v>
      </c>
      <c r="L53" s="3" t="s">
        <v>21</v>
      </c>
      <c r="M53" s="3" t="s">
        <v>104</v>
      </c>
      <c r="N53" s="3" t="s">
        <v>105</v>
      </c>
    </row>
    <row r="54" customFormat="false" ht="15" hidden="false" customHeight="false" outlineLevel="0" collapsed="false">
      <c r="A54" s="2" t="n">
        <v>45611</v>
      </c>
      <c r="B54" s="3" t="n">
        <v>2024</v>
      </c>
      <c r="C54" s="3" t="n">
        <v>46</v>
      </c>
      <c r="D54" s="3" t="s">
        <v>144</v>
      </c>
      <c r="E54" s="3" t="s">
        <v>57</v>
      </c>
      <c r="F54" s="3" t="s">
        <v>145</v>
      </c>
      <c r="G54" s="3" t="s">
        <v>126</v>
      </c>
      <c r="H54" s="3" t="s">
        <v>127</v>
      </c>
      <c r="I54" s="3" t="s">
        <v>19</v>
      </c>
      <c r="J54" s="4" t="s">
        <v>20</v>
      </c>
      <c r="K54" s="3" t="n">
        <v>18348</v>
      </c>
      <c r="L54" s="3" t="s">
        <v>21</v>
      </c>
      <c r="M54" s="3"/>
      <c r="N54" s="3" t="s">
        <v>128</v>
      </c>
    </row>
    <row r="55" customFormat="false" ht="15" hidden="false" customHeight="false" outlineLevel="0" collapsed="false">
      <c r="A55" s="2" t="n">
        <v>45617</v>
      </c>
      <c r="B55" s="3" t="n">
        <v>2024</v>
      </c>
      <c r="C55" s="3" t="n">
        <v>47</v>
      </c>
      <c r="D55" s="3" t="s">
        <v>146</v>
      </c>
      <c r="E55" s="3" t="s">
        <v>24</v>
      </c>
      <c r="F55" s="3" t="s">
        <v>147</v>
      </c>
      <c r="G55" s="3" t="s">
        <v>126</v>
      </c>
      <c r="H55" s="3" t="s">
        <v>127</v>
      </c>
      <c r="I55" s="3" t="s">
        <v>19</v>
      </c>
      <c r="J55" s="4" t="s">
        <v>20</v>
      </c>
      <c r="K55" s="3" t="n">
        <v>16260</v>
      </c>
      <c r="L55" s="3" t="s">
        <v>21</v>
      </c>
      <c r="M55" s="3"/>
      <c r="N55" s="3" t="s">
        <v>128</v>
      </c>
    </row>
    <row r="56" customFormat="false" ht="15" hidden="false" customHeight="false" outlineLevel="0" collapsed="false">
      <c r="A56" s="2" t="n">
        <v>45619</v>
      </c>
      <c r="B56" s="3" t="n">
        <v>2024</v>
      </c>
      <c r="C56" s="3" t="n">
        <v>47</v>
      </c>
      <c r="D56" s="3" t="s">
        <v>146</v>
      </c>
      <c r="E56" s="3" t="s">
        <v>15</v>
      </c>
      <c r="F56" s="3" t="s">
        <v>148</v>
      </c>
      <c r="G56" s="3" t="s">
        <v>101</v>
      </c>
      <c r="H56" s="3" t="s">
        <v>102</v>
      </c>
      <c r="I56" s="3" t="s">
        <v>103</v>
      </c>
      <c r="J56" s="4" t="s">
        <v>20</v>
      </c>
      <c r="K56" s="3" t="n">
        <v>105751</v>
      </c>
      <c r="L56" s="3" t="s">
        <v>21</v>
      </c>
      <c r="M56" s="3" t="s">
        <v>104</v>
      </c>
      <c r="N56" s="3" t="s">
        <v>105</v>
      </c>
    </row>
    <row r="57" customFormat="false" ht="15" hidden="false" customHeight="false" outlineLevel="0" collapsed="false">
      <c r="A57" s="2" t="n">
        <v>45619</v>
      </c>
      <c r="B57" s="3" t="n">
        <v>2024</v>
      </c>
      <c r="C57" s="3" t="n">
        <v>47</v>
      </c>
      <c r="D57" s="3" t="s">
        <v>146</v>
      </c>
      <c r="E57" s="3" t="s">
        <v>15</v>
      </c>
      <c r="F57" s="3" t="s">
        <v>149</v>
      </c>
      <c r="G57" s="3" t="s">
        <v>126</v>
      </c>
      <c r="H57" s="3" t="s">
        <v>127</v>
      </c>
      <c r="I57" s="3" t="s">
        <v>19</v>
      </c>
      <c r="J57" s="4" t="s">
        <v>20</v>
      </c>
      <c r="K57" s="3" t="n">
        <v>16013</v>
      </c>
      <c r="L57" s="3" t="s">
        <v>21</v>
      </c>
      <c r="M57" s="3"/>
      <c r="N57" s="3" t="s">
        <v>128</v>
      </c>
    </row>
    <row r="58" customFormat="false" ht="15" hidden="false" customHeight="false" outlineLevel="0" collapsed="false">
      <c r="A58" s="2" t="n">
        <v>45623</v>
      </c>
      <c r="B58" s="3" t="n">
        <v>2024</v>
      </c>
      <c r="C58" s="3" t="n">
        <v>48</v>
      </c>
      <c r="D58" s="3" t="s">
        <v>150</v>
      </c>
      <c r="E58" s="3" t="s">
        <v>63</v>
      </c>
      <c r="F58" s="3" t="s">
        <v>151</v>
      </c>
      <c r="G58" s="3" t="s">
        <v>126</v>
      </c>
      <c r="H58" s="3" t="s">
        <v>127</v>
      </c>
      <c r="I58" s="3" t="s">
        <v>19</v>
      </c>
      <c r="J58" s="4" t="s">
        <v>20</v>
      </c>
      <c r="K58" s="3" t="n">
        <v>15485</v>
      </c>
      <c r="L58" s="3" t="s">
        <v>21</v>
      </c>
      <c r="M58" s="3"/>
      <c r="N58" s="3" t="s">
        <v>128</v>
      </c>
    </row>
    <row r="59" customFormat="false" ht="15" hidden="false" customHeight="false" outlineLevel="0" collapsed="false">
      <c r="A59" s="2" t="n">
        <v>45625</v>
      </c>
      <c r="B59" s="3" t="n">
        <v>2024</v>
      </c>
      <c r="C59" s="3" t="n">
        <v>48</v>
      </c>
      <c r="D59" s="3" t="s">
        <v>150</v>
      </c>
      <c r="E59" s="3" t="s">
        <v>57</v>
      </c>
      <c r="F59" s="3" t="s">
        <v>152</v>
      </c>
      <c r="G59" s="3" t="s">
        <v>126</v>
      </c>
      <c r="H59" s="3" t="s">
        <v>127</v>
      </c>
      <c r="I59" s="3" t="s">
        <v>19</v>
      </c>
      <c r="J59" s="4" t="s">
        <v>20</v>
      </c>
      <c r="K59" s="3" t="n">
        <v>17035</v>
      </c>
      <c r="L59" s="3" t="s">
        <v>21</v>
      </c>
      <c r="M59" s="3"/>
      <c r="N59" s="3" t="s">
        <v>128</v>
      </c>
    </row>
    <row r="60" customFormat="false" ht="15" hidden="false" customHeight="false" outlineLevel="0" collapsed="false">
      <c r="A60" s="2" t="n">
        <v>45626</v>
      </c>
      <c r="B60" s="3" t="n">
        <v>2024</v>
      </c>
      <c r="C60" s="3" t="n">
        <v>48</v>
      </c>
      <c r="D60" s="3" t="s">
        <v>150</v>
      </c>
      <c r="E60" s="3" t="s">
        <v>15</v>
      </c>
      <c r="F60" s="3" t="s">
        <v>153</v>
      </c>
      <c r="G60" s="3" t="s">
        <v>101</v>
      </c>
      <c r="H60" s="3" t="s">
        <v>102</v>
      </c>
      <c r="I60" s="3" t="s">
        <v>103</v>
      </c>
      <c r="J60" s="4" t="s">
        <v>20</v>
      </c>
      <c r="K60" s="3" t="n">
        <v>106005</v>
      </c>
      <c r="L60" s="3" t="s">
        <v>21</v>
      </c>
      <c r="M60" s="3" t="s">
        <v>104</v>
      </c>
      <c r="N60" s="3" t="s">
        <v>105</v>
      </c>
    </row>
    <row r="61" customFormat="false" ht="15" hidden="false" customHeight="false" outlineLevel="0" collapsed="false">
      <c r="A61" s="2" t="n">
        <v>45632</v>
      </c>
      <c r="B61" s="3" t="n">
        <v>2024</v>
      </c>
      <c r="C61" s="3" t="n">
        <v>49</v>
      </c>
      <c r="D61" s="3" t="s">
        <v>154</v>
      </c>
      <c r="E61" s="3" t="s">
        <v>57</v>
      </c>
      <c r="F61" s="3" t="s">
        <v>155</v>
      </c>
      <c r="G61" s="3" t="s">
        <v>65</v>
      </c>
      <c r="H61" s="3" t="s">
        <v>66</v>
      </c>
      <c r="I61" s="3" t="s">
        <v>66</v>
      </c>
      <c r="J61" s="5" t="s">
        <v>28</v>
      </c>
      <c r="K61" s="3"/>
      <c r="L61" s="3" t="s">
        <v>21</v>
      </c>
      <c r="M61" s="3"/>
      <c r="N61" s="3" t="s">
        <v>156</v>
      </c>
    </row>
    <row r="62" customFormat="false" ht="15" hidden="false" customHeight="false" outlineLevel="0" collapsed="false">
      <c r="A62" s="2" t="n">
        <v>45636</v>
      </c>
      <c r="B62" s="3" t="n">
        <v>2024</v>
      </c>
      <c r="C62" s="3" t="n">
        <v>50</v>
      </c>
      <c r="D62" s="3" t="s">
        <v>157</v>
      </c>
      <c r="E62" s="3" t="s">
        <v>35</v>
      </c>
      <c r="F62" s="3" t="s">
        <v>158</v>
      </c>
      <c r="G62" s="3" t="s">
        <v>126</v>
      </c>
      <c r="H62" s="3" t="s">
        <v>127</v>
      </c>
      <c r="I62" s="3" t="s">
        <v>19</v>
      </c>
      <c r="J62" s="4" t="s">
        <v>20</v>
      </c>
      <c r="K62" s="3" t="n">
        <v>15467</v>
      </c>
      <c r="L62" s="3" t="s">
        <v>21</v>
      </c>
      <c r="M62" s="3"/>
      <c r="N62" s="3" t="s">
        <v>128</v>
      </c>
    </row>
    <row r="63" customFormat="false" ht="15" hidden="false" customHeight="false" outlineLevel="0" collapsed="false">
      <c r="A63" s="2" t="n">
        <v>45638</v>
      </c>
      <c r="B63" s="3" t="n">
        <v>2024</v>
      </c>
      <c r="C63" s="3" t="n">
        <v>50</v>
      </c>
      <c r="D63" s="3" t="s">
        <v>157</v>
      </c>
      <c r="E63" s="3" t="s">
        <v>24</v>
      </c>
      <c r="F63" s="3" t="s">
        <v>159</v>
      </c>
      <c r="G63" s="3" t="s">
        <v>126</v>
      </c>
      <c r="H63" s="3" t="s">
        <v>127</v>
      </c>
      <c r="I63" s="3" t="s">
        <v>19</v>
      </c>
      <c r="J63" s="4" t="s">
        <v>20</v>
      </c>
      <c r="K63" s="3" t="n">
        <v>15962</v>
      </c>
      <c r="L63" s="3" t="s">
        <v>21</v>
      </c>
      <c r="M63" s="3"/>
      <c r="N63" s="3" t="s">
        <v>128</v>
      </c>
    </row>
    <row r="64" customFormat="false" ht="15" hidden="false" customHeight="false" outlineLevel="0" collapsed="false">
      <c r="A64" s="2" t="n">
        <v>45640</v>
      </c>
      <c r="B64" s="3" t="n">
        <v>2024</v>
      </c>
      <c r="C64" s="3" t="n">
        <v>50</v>
      </c>
      <c r="D64" s="3" t="s">
        <v>157</v>
      </c>
      <c r="E64" s="3" t="s">
        <v>15</v>
      </c>
      <c r="F64" s="3" t="s">
        <v>160</v>
      </c>
      <c r="G64" s="3" t="s">
        <v>126</v>
      </c>
      <c r="H64" s="3" t="s">
        <v>127</v>
      </c>
      <c r="I64" s="3" t="s">
        <v>19</v>
      </c>
      <c r="J64" s="4" t="s">
        <v>20</v>
      </c>
      <c r="K64" s="3" t="n">
        <v>17663</v>
      </c>
      <c r="L64" s="3" t="s">
        <v>21</v>
      </c>
      <c r="M64" s="3"/>
      <c r="N64" s="3" t="s">
        <v>128</v>
      </c>
    </row>
    <row r="65" customFormat="false" ht="15" hidden="false" customHeight="false" outlineLevel="0" collapsed="false">
      <c r="A65" s="2" t="n">
        <v>45645</v>
      </c>
      <c r="B65" s="3" t="n">
        <v>2024</v>
      </c>
      <c r="C65" s="3" t="n">
        <v>51</v>
      </c>
      <c r="D65" s="3" t="s">
        <v>161</v>
      </c>
      <c r="E65" s="3" t="s">
        <v>24</v>
      </c>
      <c r="F65" s="3" t="s">
        <v>162</v>
      </c>
      <c r="G65" s="3" t="s">
        <v>126</v>
      </c>
      <c r="H65" s="3" t="s">
        <v>127</v>
      </c>
      <c r="I65" s="3" t="s">
        <v>19</v>
      </c>
      <c r="J65" s="4" t="s">
        <v>20</v>
      </c>
      <c r="K65" s="3" t="n">
        <v>15793</v>
      </c>
      <c r="L65" s="3" t="s">
        <v>21</v>
      </c>
      <c r="M65" s="3"/>
      <c r="N65" s="3" t="s">
        <v>128</v>
      </c>
    </row>
    <row r="66" customFormat="false" ht="15" hidden="false" customHeight="false" outlineLevel="0" collapsed="false">
      <c r="A66" s="2" t="n">
        <v>45649</v>
      </c>
      <c r="B66" s="3" t="n">
        <v>2024</v>
      </c>
      <c r="C66" s="3" t="n">
        <v>52</v>
      </c>
      <c r="D66" s="3" t="s">
        <v>163</v>
      </c>
      <c r="E66" s="3" t="s">
        <v>108</v>
      </c>
      <c r="F66" s="3" t="s">
        <v>151</v>
      </c>
      <c r="G66" s="3" t="s">
        <v>126</v>
      </c>
      <c r="H66" s="3" t="s">
        <v>127</v>
      </c>
      <c r="I66" s="3" t="s">
        <v>19</v>
      </c>
      <c r="J66" s="4" t="s">
        <v>20</v>
      </c>
      <c r="K66" s="3" t="n">
        <v>17875</v>
      </c>
      <c r="L66" s="3" t="s">
        <v>21</v>
      </c>
      <c r="M66" s="3"/>
      <c r="N66" s="3" t="s">
        <v>128</v>
      </c>
    </row>
    <row r="67" customFormat="false" ht="15" hidden="false" customHeight="false" outlineLevel="0" collapsed="false">
      <c r="A67" s="2" t="n">
        <v>45653</v>
      </c>
      <c r="B67" s="3" t="n">
        <v>2024</v>
      </c>
      <c r="C67" s="3" t="n">
        <v>52</v>
      </c>
      <c r="D67" s="3" t="s">
        <v>163</v>
      </c>
      <c r="E67" s="3" t="s">
        <v>57</v>
      </c>
      <c r="F67" s="3" t="s">
        <v>164</v>
      </c>
      <c r="G67" s="3" t="s">
        <v>126</v>
      </c>
      <c r="H67" s="3" t="s">
        <v>127</v>
      </c>
      <c r="I67" s="3" t="s">
        <v>19</v>
      </c>
      <c r="J67" s="4" t="s">
        <v>20</v>
      </c>
      <c r="K67" s="3" t="n">
        <v>18821</v>
      </c>
      <c r="L67" s="3" t="s">
        <v>21</v>
      </c>
      <c r="M67" s="3"/>
      <c r="N67" s="3" t="s">
        <v>128</v>
      </c>
    </row>
    <row r="68" customFormat="false" ht="15" hidden="false" customHeight="false" outlineLevel="0" collapsed="false">
      <c r="A68" s="2" t="n">
        <v>45657</v>
      </c>
      <c r="B68" s="3" t="n">
        <v>2025</v>
      </c>
      <c r="C68" s="3" t="n">
        <v>1</v>
      </c>
      <c r="D68" s="3" t="s">
        <v>165</v>
      </c>
      <c r="E68" s="3" t="s">
        <v>35</v>
      </c>
      <c r="F68" s="3" t="s">
        <v>149</v>
      </c>
      <c r="G68" s="3" t="s">
        <v>126</v>
      </c>
      <c r="H68" s="3" t="s">
        <v>127</v>
      </c>
      <c r="I68" s="3" t="s">
        <v>19</v>
      </c>
      <c r="J68" s="4" t="s">
        <v>20</v>
      </c>
      <c r="K68" s="3" t="n">
        <v>17712</v>
      </c>
      <c r="L68" s="3" t="s">
        <v>21</v>
      </c>
      <c r="M68" s="3"/>
      <c r="N68" s="3" t="s">
        <v>128</v>
      </c>
    </row>
    <row r="69" customFormat="false" ht="15" hidden="false" customHeight="false" outlineLevel="0" collapsed="false">
      <c r="A69" s="2" t="n">
        <v>45659</v>
      </c>
      <c r="B69" s="3" t="n">
        <v>2025</v>
      </c>
      <c r="C69" s="3" t="n">
        <v>1</v>
      </c>
      <c r="D69" s="3" t="s">
        <v>165</v>
      </c>
      <c r="E69" s="3" t="s">
        <v>24</v>
      </c>
      <c r="F69" s="3" t="s">
        <v>166</v>
      </c>
      <c r="G69" s="3" t="s">
        <v>126</v>
      </c>
      <c r="H69" s="3" t="s">
        <v>127</v>
      </c>
      <c r="I69" s="3" t="s">
        <v>19</v>
      </c>
      <c r="J69" s="4" t="s">
        <v>20</v>
      </c>
      <c r="K69" s="3" t="n">
        <v>18370</v>
      </c>
      <c r="L69" s="3" t="s">
        <v>21</v>
      </c>
      <c r="M69" s="3"/>
      <c r="N69" s="3" t="s">
        <v>128</v>
      </c>
    </row>
    <row r="70" customFormat="false" ht="15" hidden="false" customHeight="false" outlineLevel="0" collapsed="false">
      <c r="A70" s="2" t="n">
        <v>45661</v>
      </c>
      <c r="B70" s="3" t="n">
        <v>2025</v>
      </c>
      <c r="C70" s="3" t="n">
        <v>1</v>
      </c>
      <c r="D70" s="3" t="s">
        <v>165</v>
      </c>
      <c r="E70" s="3" t="s">
        <v>15</v>
      </c>
      <c r="F70" s="3" t="s">
        <v>167</v>
      </c>
      <c r="G70" s="3" t="s">
        <v>126</v>
      </c>
      <c r="H70" s="3" t="s">
        <v>127</v>
      </c>
      <c r="I70" s="3" t="s">
        <v>19</v>
      </c>
      <c r="J70" s="4" t="s">
        <v>20</v>
      </c>
      <c r="K70" s="3" t="n">
        <v>18535</v>
      </c>
      <c r="L70" s="3" t="s">
        <v>21</v>
      </c>
      <c r="M70" s="3"/>
      <c r="N70" s="3" t="s">
        <v>128</v>
      </c>
    </row>
    <row r="71" customFormat="false" ht="15" hidden="false" customHeight="false" outlineLevel="0" collapsed="false">
      <c r="A71" s="2" t="n">
        <v>45666</v>
      </c>
      <c r="B71" s="3" t="n">
        <v>2025</v>
      </c>
      <c r="C71" s="3" t="n">
        <v>2</v>
      </c>
      <c r="D71" s="3" t="s">
        <v>168</v>
      </c>
      <c r="E71" s="3" t="s">
        <v>24</v>
      </c>
      <c r="F71" s="3" t="s">
        <v>169</v>
      </c>
      <c r="G71" s="3" t="s">
        <v>126</v>
      </c>
      <c r="H71" s="3" t="s">
        <v>127</v>
      </c>
      <c r="I71" s="3" t="s">
        <v>19</v>
      </c>
      <c r="J71" s="4" t="s">
        <v>20</v>
      </c>
      <c r="K71" s="3" t="n">
        <v>15497</v>
      </c>
      <c r="L71" s="3" t="s">
        <v>21</v>
      </c>
      <c r="M71" s="3"/>
      <c r="N71" s="3" t="s">
        <v>128</v>
      </c>
    </row>
    <row r="72" customFormat="false" ht="15" hidden="false" customHeight="false" outlineLevel="0" collapsed="false">
      <c r="A72" s="2" t="n">
        <v>45671</v>
      </c>
      <c r="B72" s="3" t="n">
        <v>2025</v>
      </c>
      <c r="C72" s="3" t="n">
        <v>3</v>
      </c>
      <c r="D72" s="3" t="s">
        <v>170</v>
      </c>
      <c r="E72" s="3" t="s">
        <v>35</v>
      </c>
      <c r="F72" s="3" t="s">
        <v>158</v>
      </c>
      <c r="G72" s="3" t="s">
        <v>126</v>
      </c>
      <c r="H72" s="3" t="s">
        <v>127</v>
      </c>
      <c r="I72" s="3" t="s">
        <v>19</v>
      </c>
      <c r="J72" s="4" t="s">
        <v>20</v>
      </c>
      <c r="K72" s="3" t="n">
        <v>15018</v>
      </c>
      <c r="L72" s="3" t="s">
        <v>21</v>
      </c>
      <c r="M72" s="3"/>
      <c r="N72" s="3" t="s">
        <v>128</v>
      </c>
    </row>
    <row r="73" customFormat="false" ht="15" hidden="false" customHeight="false" outlineLevel="0" collapsed="false">
      <c r="A73" s="2" t="n">
        <v>45673</v>
      </c>
      <c r="B73" s="3" t="n">
        <v>2025</v>
      </c>
      <c r="C73" s="3" t="n">
        <v>3</v>
      </c>
      <c r="D73" s="3" t="s">
        <v>170</v>
      </c>
      <c r="E73" s="3" t="s">
        <v>24</v>
      </c>
      <c r="F73" s="3" t="s">
        <v>171</v>
      </c>
      <c r="G73" s="3" t="s">
        <v>126</v>
      </c>
      <c r="H73" s="3" t="s">
        <v>127</v>
      </c>
      <c r="I73" s="3" t="s">
        <v>19</v>
      </c>
      <c r="J73" s="4" t="s">
        <v>20</v>
      </c>
      <c r="K73" s="3" t="n">
        <v>15943</v>
      </c>
      <c r="L73" s="3" t="s">
        <v>21</v>
      </c>
      <c r="M73" s="3"/>
      <c r="N73" s="3" t="s">
        <v>128</v>
      </c>
    </row>
    <row r="74" customFormat="false" ht="15" hidden="false" customHeight="false" outlineLevel="0" collapsed="false">
      <c r="A74" s="2" t="n">
        <v>45682</v>
      </c>
      <c r="B74" s="3" t="n">
        <v>2025</v>
      </c>
      <c r="C74" s="3" t="n">
        <v>4</v>
      </c>
      <c r="D74" s="3" t="s">
        <v>172</v>
      </c>
      <c r="E74" s="3" t="s">
        <v>15</v>
      </c>
      <c r="F74" s="3" t="s">
        <v>173</v>
      </c>
      <c r="G74" s="3" t="s">
        <v>126</v>
      </c>
      <c r="H74" s="3" t="s">
        <v>127</v>
      </c>
      <c r="I74" s="3" t="s">
        <v>19</v>
      </c>
      <c r="J74" s="4" t="s">
        <v>20</v>
      </c>
      <c r="K74" s="3" t="n">
        <v>18919</v>
      </c>
      <c r="L74" s="3" t="s">
        <v>21</v>
      </c>
      <c r="M74" s="3"/>
      <c r="N74" s="3" t="s">
        <v>128</v>
      </c>
    </row>
    <row r="75" customFormat="false" ht="15" hidden="false" customHeight="false" outlineLevel="0" collapsed="false">
      <c r="A75" s="2" t="n">
        <v>45694</v>
      </c>
      <c r="B75" s="3" t="n">
        <v>2025</v>
      </c>
      <c r="C75" s="3" t="n">
        <v>6</v>
      </c>
      <c r="D75" s="3" t="s">
        <v>174</v>
      </c>
      <c r="E75" s="3" t="s">
        <v>24</v>
      </c>
      <c r="F75" s="3" t="s">
        <v>175</v>
      </c>
      <c r="G75" s="3" t="s">
        <v>126</v>
      </c>
      <c r="H75" s="3" t="s">
        <v>127</v>
      </c>
      <c r="I75" s="3" t="s">
        <v>19</v>
      </c>
      <c r="J75" s="4" t="s">
        <v>20</v>
      </c>
      <c r="K75" s="3" t="n">
        <v>18553</v>
      </c>
      <c r="L75" s="3" t="s">
        <v>21</v>
      </c>
      <c r="M75" s="3"/>
      <c r="N75" s="3" t="s">
        <v>128</v>
      </c>
    </row>
    <row r="76" customFormat="false" ht="15" hidden="false" customHeight="false" outlineLevel="0" collapsed="false">
      <c r="A76" s="2" t="n">
        <v>45696</v>
      </c>
      <c r="B76" s="3" t="n">
        <v>2025</v>
      </c>
      <c r="C76" s="3" t="n">
        <v>6</v>
      </c>
      <c r="D76" s="3" t="s">
        <v>174</v>
      </c>
      <c r="E76" s="3" t="s">
        <v>15</v>
      </c>
      <c r="F76" s="3" t="s">
        <v>176</v>
      </c>
      <c r="G76" s="3" t="s">
        <v>126</v>
      </c>
      <c r="H76" s="3" t="s">
        <v>127</v>
      </c>
      <c r="I76" s="3" t="s">
        <v>19</v>
      </c>
      <c r="J76" s="4" t="s">
        <v>20</v>
      </c>
      <c r="K76" s="3" t="n">
        <v>18755</v>
      </c>
      <c r="L76" s="3" t="s">
        <v>21</v>
      </c>
      <c r="M76" s="3"/>
      <c r="N76" s="3" t="s">
        <v>128</v>
      </c>
    </row>
    <row r="77" customFormat="false" ht="15" hidden="false" customHeight="false" outlineLevel="0" collapsed="false">
      <c r="A77" s="2" t="n">
        <v>45710</v>
      </c>
      <c r="B77" s="3" t="n">
        <v>2025</v>
      </c>
      <c r="C77" s="3" t="n">
        <v>8</v>
      </c>
      <c r="D77" s="3" t="s">
        <v>177</v>
      </c>
      <c r="E77" s="3" t="s">
        <v>15</v>
      </c>
      <c r="F77" s="3" t="s">
        <v>178</v>
      </c>
      <c r="G77" s="3" t="s">
        <v>126</v>
      </c>
      <c r="H77" s="3" t="s">
        <v>127</v>
      </c>
      <c r="I77" s="3" t="s">
        <v>19</v>
      </c>
      <c r="J77" s="4" t="s">
        <v>20</v>
      </c>
      <c r="K77" s="3" t="n">
        <v>18809</v>
      </c>
      <c r="L77" s="3" t="s">
        <v>21</v>
      </c>
      <c r="M77" s="3"/>
      <c r="N77" s="3" t="s">
        <v>128</v>
      </c>
    </row>
    <row r="78" customFormat="false" ht="15" hidden="false" customHeight="false" outlineLevel="0" collapsed="false">
      <c r="A78" s="2" t="n">
        <v>45710</v>
      </c>
      <c r="B78" s="3" t="n">
        <v>2025</v>
      </c>
      <c r="C78" s="3" t="n">
        <v>8</v>
      </c>
      <c r="D78" s="3" t="s">
        <v>177</v>
      </c>
      <c r="E78" s="3" t="s">
        <v>15</v>
      </c>
      <c r="F78" s="3" t="s">
        <v>31</v>
      </c>
      <c r="G78" s="3" t="s">
        <v>17</v>
      </c>
      <c r="H78" s="3" t="s">
        <v>179</v>
      </c>
      <c r="I78" s="3" t="s">
        <v>19</v>
      </c>
      <c r="J78" s="4" t="s">
        <v>20</v>
      </c>
      <c r="K78" s="3" t="n">
        <v>20210</v>
      </c>
      <c r="L78" s="3" t="s">
        <v>21</v>
      </c>
      <c r="M78" s="3"/>
      <c r="N78" s="3" t="s">
        <v>180</v>
      </c>
    </row>
    <row r="79" customFormat="false" ht="15" hidden="false" customHeight="false" outlineLevel="0" collapsed="false">
      <c r="A79" s="2" t="n">
        <v>45713</v>
      </c>
      <c r="B79" s="3" t="n">
        <v>2025</v>
      </c>
      <c r="C79" s="3" t="n">
        <v>9</v>
      </c>
      <c r="D79" s="3" t="s">
        <v>181</v>
      </c>
      <c r="E79" s="3" t="s">
        <v>35</v>
      </c>
      <c r="F79" s="3" t="s">
        <v>182</v>
      </c>
      <c r="G79" s="3" t="s">
        <v>126</v>
      </c>
      <c r="H79" s="3" t="s">
        <v>127</v>
      </c>
      <c r="I79" s="3" t="s">
        <v>19</v>
      </c>
      <c r="J79" s="4" t="s">
        <v>20</v>
      </c>
      <c r="K79" s="3" t="n">
        <v>16897</v>
      </c>
      <c r="L79" s="3" t="s">
        <v>21</v>
      </c>
      <c r="M79" s="3"/>
      <c r="N79" s="3" t="s">
        <v>128</v>
      </c>
    </row>
    <row r="80" customFormat="false" ht="15" hidden="false" customHeight="false" outlineLevel="0" collapsed="false">
      <c r="A80" s="2" t="n">
        <v>45715</v>
      </c>
      <c r="B80" s="3" t="n">
        <v>2025</v>
      </c>
      <c r="C80" s="3" t="n">
        <v>9</v>
      </c>
      <c r="D80" s="3" t="s">
        <v>181</v>
      </c>
      <c r="E80" s="3" t="s">
        <v>24</v>
      </c>
      <c r="F80" s="3" t="s">
        <v>183</v>
      </c>
      <c r="G80" s="3" t="s">
        <v>26</v>
      </c>
      <c r="H80" s="3" t="s">
        <v>27</v>
      </c>
      <c r="I80" s="3" t="s">
        <v>27</v>
      </c>
      <c r="J80" s="5" t="s">
        <v>28</v>
      </c>
      <c r="K80" s="3" t="n">
        <v>200000</v>
      </c>
      <c r="L80" s="3" t="s">
        <v>21</v>
      </c>
      <c r="M80" s="3"/>
      <c r="N80" s="3" t="s">
        <v>184</v>
      </c>
    </row>
    <row r="81" customFormat="false" ht="15" hidden="false" customHeight="false" outlineLevel="0" collapsed="false">
      <c r="A81" s="2" t="n">
        <v>45717</v>
      </c>
      <c r="B81" s="3" t="n">
        <v>2025</v>
      </c>
      <c r="C81" s="3" t="n">
        <v>9</v>
      </c>
      <c r="D81" s="3" t="s">
        <v>181</v>
      </c>
      <c r="E81" s="3" t="s">
        <v>15</v>
      </c>
      <c r="F81" s="3" t="s">
        <v>185</v>
      </c>
      <c r="G81" s="3" t="s">
        <v>186</v>
      </c>
      <c r="H81" s="3" t="s">
        <v>102</v>
      </c>
      <c r="I81" s="3" t="s">
        <v>103</v>
      </c>
      <c r="J81" s="4" t="s">
        <v>20</v>
      </c>
      <c r="K81" s="3" t="n">
        <v>94751</v>
      </c>
      <c r="L81" s="3" t="s">
        <v>21</v>
      </c>
      <c r="M81" s="3" t="s">
        <v>187</v>
      </c>
      <c r="N81" s="3" t="s">
        <v>188</v>
      </c>
    </row>
    <row r="82" customFormat="false" ht="15" hidden="false" customHeight="false" outlineLevel="0" collapsed="false">
      <c r="A82" s="2" t="n">
        <v>45724</v>
      </c>
      <c r="B82" s="3" t="n">
        <v>2025</v>
      </c>
      <c r="C82" s="3" t="n">
        <v>10</v>
      </c>
      <c r="D82" s="3" t="s">
        <v>189</v>
      </c>
      <c r="E82" s="3" t="s">
        <v>15</v>
      </c>
      <c r="F82" s="3" t="s">
        <v>190</v>
      </c>
      <c r="G82" s="3" t="s">
        <v>17</v>
      </c>
      <c r="H82" s="3" t="s">
        <v>179</v>
      </c>
      <c r="I82" s="3" t="s">
        <v>19</v>
      </c>
      <c r="J82" s="4" t="s">
        <v>20</v>
      </c>
      <c r="K82" s="3" t="n">
        <v>20231</v>
      </c>
      <c r="L82" s="3" t="s">
        <v>21</v>
      </c>
      <c r="M82" s="3"/>
      <c r="N82" s="3" t="s">
        <v>180</v>
      </c>
    </row>
    <row r="83" customFormat="false" ht="15" hidden="false" customHeight="false" outlineLevel="0" collapsed="false">
      <c r="A83" s="2" t="n">
        <v>45729</v>
      </c>
      <c r="B83" s="3" t="n">
        <v>2025</v>
      </c>
      <c r="C83" s="3" t="n">
        <v>11</v>
      </c>
      <c r="D83" s="3" t="s">
        <v>191</v>
      </c>
      <c r="E83" s="3" t="s">
        <v>24</v>
      </c>
      <c r="F83" s="3" t="s">
        <v>192</v>
      </c>
      <c r="G83" s="3" t="s">
        <v>126</v>
      </c>
      <c r="H83" s="3" t="s">
        <v>127</v>
      </c>
      <c r="I83" s="3" t="s">
        <v>19</v>
      </c>
      <c r="J83" s="4" t="s">
        <v>20</v>
      </c>
      <c r="K83" s="3" t="n">
        <v>18823</v>
      </c>
      <c r="L83" s="3" t="s">
        <v>21</v>
      </c>
      <c r="M83" s="3"/>
      <c r="N83" s="3" t="s">
        <v>128</v>
      </c>
    </row>
    <row r="84" customFormat="false" ht="15" hidden="false" customHeight="false" outlineLevel="0" collapsed="false">
      <c r="A84" s="2" t="n">
        <v>45731</v>
      </c>
      <c r="B84" s="3" t="n">
        <v>2025</v>
      </c>
      <c r="C84" s="3" t="n">
        <v>11</v>
      </c>
      <c r="D84" s="3" t="s">
        <v>191</v>
      </c>
      <c r="E84" s="3" t="s">
        <v>15</v>
      </c>
      <c r="F84" s="3" t="s">
        <v>176</v>
      </c>
      <c r="G84" s="3" t="s">
        <v>126</v>
      </c>
      <c r="H84" s="3" t="s">
        <v>127</v>
      </c>
      <c r="I84" s="3" t="s">
        <v>19</v>
      </c>
      <c r="J84" s="4" t="s">
        <v>20</v>
      </c>
      <c r="K84" s="3" t="n">
        <v>18464</v>
      </c>
      <c r="L84" s="3" t="s">
        <v>21</v>
      </c>
      <c r="M84" s="3"/>
      <c r="N84" s="3" t="s">
        <v>128</v>
      </c>
    </row>
    <row r="85" customFormat="false" ht="15" hidden="false" customHeight="false" outlineLevel="0" collapsed="false">
      <c r="A85" s="2" t="n">
        <v>45733</v>
      </c>
      <c r="B85" s="3" t="n">
        <v>2025</v>
      </c>
      <c r="C85" s="3" t="n">
        <v>12</v>
      </c>
      <c r="D85" s="3" t="s">
        <v>193</v>
      </c>
      <c r="E85" s="3" t="s">
        <v>108</v>
      </c>
      <c r="F85" s="3" t="s">
        <v>162</v>
      </c>
      <c r="G85" s="3" t="s">
        <v>126</v>
      </c>
      <c r="H85" s="3" t="s">
        <v>127</v>
      </c>
      <c r="I85" s="3" t="s">
        <v>19</v>
      </c>
      <c r="J85" s="4" t="s">
        <v>20</v>
      </c>
      <c r="K85" s="3" t="n">
        <v>16708</v>
      </c>
      <c r="L85" s="3" t="s">
        <v>21</v>
      </c>
      <c r="M85" s="3"/>
      <c r="N85" s="3" t="s">
        <v>128</v>
      </c>
    </row>
    <row r="86" customFormat="false" ht="15" hidden="false" customHeight="false" outlineLevel="0" collapsed="false">
      <c r="A86" s="2" t="n">
        <v>45736</v>
      </c>
      <c r="B86" s="3" t="n">
        <v>2025</v>
      </c>
      <c r="C86" s="3" t="n">
        <v>12</v>
      </c>
      <c r="D86" s="3" t="s">
        <v>193</v>
      </c>
      <c r="E86" s="3" t="s">
        <v>24</v>
      </c>
      <c r="F86" s="3" t="s">
        <v>125</v>
      </c>
      <c r="G86" s="3" t="s">
        <v>126</v>
      </c>
      <c r="H86" s="3" t="s">
        <v>127</v>
      </c>
      <c r="I86" s="3" t="s">
        <v>19</v>
      </c>
      <c r="J86" s="4" t="s">
        <v>20</v>
      </c>
      <c r="K86" s="3" t="n">
        <v>16757</v>
      </c>
      <c r="L86" s="3" t="s">
        <v>21</v>
      </c>
      <c r="M86" s="3"/>
      <c r="N86" s="3" t="s">
        <v>128</v>
      </c>
    </row>
    <row r="87" customFormat="false" ht="15" hidden="false" customHeight="false" outlineLevel="0" collapsed="false">
      <c r="A87" s="2" t="n">
        <v>45738</v>
      </c>
      <c r="B87" s="3" t="n">
        <v>2025</v>
      </c>
      <c r="C87" s="3" t="n">
        <v>12</v>
      </c>
      <c r="D87" s="3" t="s">
        <v>193</v>
      </c>
      <c r="E87" s="3" t="s">
        <v>15</v>
      </c>
      <c r="F87" s="3" t="s">
        <v>106</v>
      </c>
      <c r="G87" s="3" t="s">
        <v>17</v>
      </c>
      <c r="H87" s="3" t="s">
        <v>179</v>
      </c>
      <c r="I87" s="3" t="s">
        <v>19</v>
      </c>
      <c r="J87" s="4" t="s">
        <v>20</v>
      </c>
      <c r="K87" s="3" t="n">
        <v>20235</v>
      </c>
      <c r="L87" s="3" t="s">
        <v>21</v>
      </c>
      <c r="M87" s="3"/>
      <c r="N87" s="3" t="s">
        <v>180</v>
      </c>
    </row>
    <row r="88" customFormat="false" ht="15" hidden="false" customHeight="false" outlineLevel="0" collapsed="false">
      <c r="A88" s="2" t="n">
        <v>45744</v>
      </c>
      <c r="B88" s="3" t="n">
        <v>2025</v>
      </c>
      <c r="C88" s="3" t="n">
        <v>13</v>
      </c>
      <c r="D88" s="3" t="s">
        <v>194</v>
      </c>
      <c r="E88" s="3" t="s">
        <v>57</v>
      </c>
      <c r="F88" s="3" t="s">
        <v>195</v>
      </c>
      <c r="G88" s="3" t="s">
        <v>126</v>
      </c>
      <c r="H88" s="3" t="s">
        <v>127</v>
      </c>
      <c r="I88" s="3" t="s">
        <v>19</v>
      </c>
      <c r="J88" s="4" t="s">
        <v>20</v>
      </c>
      <c r="K88" s="3" t="n">
        <v>18586</v>
      </c>
      <c r="L88" s="3" t="s">
        <v>21</v>
      </c>
      <c r="M88" s="3"/>
      <c r="N88" s="3" t="s">
        <v>128</v>
      </c>
    </row>
    <row r="89" customFormat="false" ht="15" hidden="false" customHeight="false" outlineLevel="0" collapsed="false">
      <c r="A89" s="2" t="n">
        <v>45748</v>
      </c>
      <c r="B89" s="3" t="n">
        <v>2025</v>
      </c>
      <c r="C89" s="3" t="n">
        <v>14</v>
      </c>
      <c r="D89" s="3" t="s">
        <v>196</v>
      </c>
      <c r="E89" s="3" t="s">
        <v>35</v>
      </c>
      <c r="F89" s="3" t="s">
        <v>197</v>
      </c>
      <c r="G89" s="3" t="s">
        <v>126</v>
      </c>
      <c r="H89" s="3" t="s">
        <v>127</v>
      </c>
      <c r="I89" s="3" t="s">
        <v>19</v>
      </c>
      <c r="J89" s="4" t="s">
        <v>20</v>
      </c>
      <c r="K89" s="3" t="n">
        <v>15605</v>
      </c>
      <c r="L89" s="3" t="s">
        <v>21</v>
      </c>
      <c r="M89" s="3"/>
      <c r="N89" s="3" t="s">
        <v>128</v>
      </c>
    </row>
    <row r="90" customFormat="false" ht="15" hidden="false" customHeight="false" outlineLevel="0" collapsed="false">
      <c r="A90" s="2" t="n">
        <v>45748</v>
      </c>
      <c r="B90" s="3" t="n">
        <v>2025</v>
      </c>
      <c r="C90" s="3" t="n">
        <v>14</v>
      </c>
      <c r="D90" s="3" t="s">
        <v>196</v>
      </c>
      <c r="E90" s="3" t="s">
        <v>35</v>
      </c>
      <c r="F90" s="3" t="s">
        <v>198</v>
      </c>
      <c r="G90" s="3" t="s">
        <v>199</v>
      </c>
      <c r="H90" s="3" t="s">
        <v>38</v>
      </c>
      <c r="I90" s="3" t="s">
        <v>19</v>
      </c>
      <c r="J90" s="4" t="s">
        <v>20</v>
      </c>
      <c r="K90" s="3"/>
      <c r="L90" s="6" t="s">
        <v>200</v>
      </c>
      <c r="M90" s="3" t="s">
        <v>201</v>
      </c>
      <c r="N90" s="3" t="s">
        <v>202</v>
      </c>
    </row>
    <row r="91" customFormat="false" ht="15" hidden="false" customHeight="false" outlineLevel="0" collapsed="false">
      <c r="A91" s="2" t="n">
        <v>45750</v>
      </c>
      <c r="B91" s="3" t="n">
        <v>2025</v>
      </c>
      <c r="C91" s="3" t="n">
        <v>14</v>
      </c>
      <c r="D91" s="3" t="s">
        <v>196</v>
      </c>
      <c r="E91" s="3" t="s">
        <v>24</v>
      </c>
      <c r="F91" s="3" t="s">
        <v>203</v>
      </c>
      <c r="G91" s="3" t="s">
        <v>126</v>
      </c>
      <c r="H91" s="3" t="s">
        <v>127</v>
      </c>
      <c r="I91" s="3" t="s">
        <v>19</v>
      </c>
      <c r="J91" s="4" t="s">
        <v>20</v>
      </c>
      <c r="K91" s="3" t="n">
        <v>18392</v>
      </c>
      <c r="L91" s="3" t="s">
        <v>21</v>
      </c>
      <c r="M91" s="3"/>
      <c r="N91" s="3" t="s">
        <v>128</v>
      </c>
    </row>
    <row r="92" customFormat="false" ht="15" hidden="false" customHeight="false" outlineLevel="0" collapsed="false">
      <c r="A92" s="2" t="n">
        <v>45752</v>
      </c>
      <c r="B92" s="3" t="n">
        <v>2025</v>
      </c>
      <c r="C92" s="3" t="n">
        <v>14</v>
      </c>
      <c r="D92" s="3" t="s">
        <v>196</v>
      </c>
      <c r="E92" s="3" t="s">
        <v>15</v>
      </c>
      <c r="F92" s="3" t="s">
        <v>46</v>
      </c>
      <c r="G92" s="3" t="s">
        <v>17</v>
      </c>
      <c r="H92" s="3" t="s">
        <v>179</v>
      </c>
      <c r="I92" s="3" t="s">
        <v>19</v>
      </c>
      <c r="J92" s="4" t="s">
        <v>20</v>
      </c>
      <c r="K92" s="3" t="n">
        <v>19671</v>
      </c>
      <c r="L92" s="3" t="s">
        <v>21</v>
      </c>
      <c r="M92" s="3"/>
      <c r="N92" s="3" t="s">
        <v>180</v>
      </c>
    </row>
    <row r="93" customFormat="false" ht="15" hidden="false" customHeight="false" outlineLevel="0" collapsed="false">
      <c r="A93" s="2" t="n">
        <v>45755</v>
      </c>
      <c r="B93" s="3" t="n">
        <v>2025</v>
      </c>
      <c r="C93" s="3" t="n">
        <v>15</v>
      </c>
      <c r="D93" s="3" t="s">
        <v>204</v>
      </c>
      <c r="E93" s="3" t="s">
        <v>35</v>
      </c>
      <c r="F93" s="3" t="s">
        <v>205</v>
      </c>
      <c r="G93" s="3" t="s">
        <v>126</v>
      </c>
      <c r="H93" s="3" t="s">
        <v>127</v>
      </c>
      <c r="I93" s="3" t="s">
        <v>19</v>
      </c>
      <c r="J93" s="4" t="s">
        <v>20</v>
      </c>
      <c r="K93" s="3" t="n">
        <v>15188</v>
      </c>
      <c r="L93" s="3" t="s">
        <v>21</v>
      </c>
      <c r="M93" s="3"/>
      <c r="N93" s="3" t="s">
        <v>128</v>
      </c>
    </row>
    <row r="94" customFormat="false" ht="15" hidden="false" customHeight="false" outlineLevel="0" collapsed="false">
      <c r="A94" s="2" t="n">
        <v>45757</v>
      </c>
      <c r="B94" s="3" t="n">
        <v>2025</v>
      </c>
      <c r="C94" s="3" t="n">
        <v>15</v>
      </c>
      <c r="D94" s="3" t="s">
        <v>204</v>
      </c>
      <c r="E94" s="3" t="s">
        <v>24</v>
      </c>
      <c r="F94" s="3" t="s">
        <v>129</v>
      </c>
      <c r="G94" s="3" t="s">
        <v>126</v>
      </c>
      <c r="H94" s="3" t="s">
        <v>127</v>
      </c>
      <c r="I94" s="3" t="s">
        <v>19</v>
      </c>
      <c r="J94" s="4" t="s">
        <v>20</v>
      </c>
      <c r="K94" s="3" t="n">
        <v>16406</v>
      </c>
      <c r="L94" s="3" t="s">
        <v>21</v>
      </c>
      <c r="M94" s="3"/>
      <c r="N94" s="3" t="s">
        <v>128</v>
      </c>
    </row>
    <row r="95" customFormat="false" ht="15" hidden="false" customHeight="false" outlineLevel="0" collapsed="false">
      <c r="A95" s="2" t="n">
        <v>45759</v>
      </c>
      <c r="B95" s="3" t="n">
        <v>2025</v>
      </c>
      <c r="C95" s="3" t="n">
        <v>15</v>
      </c>
      <c r="D95" s="3" t="s">
        <v>204</v>
      </c>
      <c r="E95" s="3" t="s">
        <v>15</v>
      </c>
      <c r="F95" s="3" t="s">
        <v>159</v>
      </c>
      <c r="G95" s="3" t="s">
        <v>126</v>
      </c>
      <c r="H95" s="3" t="s">
        <v>127</v>
      </c>
      <c r="I95" s="3" t="s">
        <v>19</v>
      </c>
      <c r="J95" s="4" t="s">
        <v>20</v>
      </c>
      <c r="K95" s="3" t="n">
        <v>18645</v>
      </c>
      <c r="L95" s="3" t="s">
        <v>21</v>
      </c>
      <c r="M95" s="3"/>
      <c r="N95" s="3" t="s">
        <v>128</v>
      </c>
    </row>
    <row r="96" customFormat="false" ht="15" hidden="false" customHeight="false" outlineLevel="0" collapsed="false">
      <c r="A96" s="2" t="n">
        <v>45764</v>
      </c>
      <c r="B96" s="3" t="n">
        <v>2025</v>
      </c>
      <c r="C96" s="3" t="n">
        <v>16</v>
      </c>
      <c r="D96" s="3" t="s">
        <v>206</v>
      </c>
      <c r="E96" s="3" t="s">
        <v>24</v>
      </c>
      <c r="F96" s="3" t="s">
        <v>140</v>
      </c>
      <c r="G96" s="3" t="s">
        <v>126</v>
      </c>
      <c r="H96" s="3" t="s">
        <v>127</v>
      </c>
      <c r="I96" s="3" t="s">
        <v>19</v>
      </c>
      <c r="J96" s="4" t="s">
        <v>20</v>
      </c>
      <c r="K96" s="3" t="n">
        <v>18874</v>
      </c>
      <c r="L96" s="3" t="s">
        <v>21</v>
      </c>
      <c r="M96" s="3"/>
      <c r="N96" s="3" t="s">
        <v>128</v>
      </c>
    </row>
    <row r="97" customFormat="false" ht="15" hidden="false" customHeight="false" outlineLevel="0" collapsed="false">
      <c r="A97" s="2" t="n">
        <v>45766</v>
      </c>
      <c r="B97" s="3" t="n">
        <v>2025</v>
      </c>
      <c r="C97" s="3" t="n">
        <v>16</v>
      </c>
      <c r="D97" s="3" t="s">
        <v>206</v>
      </c>
      <c r="E97" s="3" t="s">
        <v>15</v>
      </c>
      <c r="F97" s="3" t="s">
        <v>207</v>
      </c>
      <c r="G97" s="3" t="s">
        <v>17</v>
      </c>
      <c r="H97" s="3" t="s">
        <v>208</v>
      </c>
      <c r="I97" s="3" t="s">
        <v>209</v>
      </c>
      <c r="J97" s="4" t="s">
        <v>20</v>
      </c>
      <c r="K97" s="3" t="n">
        <v>60614</v>
      </c>
      <c r="L97" s="3" t="s">
        <v>21</v>
      </c>
      <c r="M97" s="3" t="s">
        <v>210</v>
      </c>
      <c r="N97" s="3" t="s">
        <v>180</v>
      </c>
    </row>
    <row r="98" customFormat="false" ht="15" hidden="false" customHeight="false" outlineLevel="0" collapsed="false">
      <c r="A98" s="2" t="n">
        <v>45773</v>
      </c>
      <c r="B98" s="3" t="n">
        <v>2025</v>
      </c>
      <c r="C98" s="3" t="n">
        <v>17</v>
      </c>
      <c r="D98" s="3" t="s">
        <v>211</v>
      </c>
      <c r="E98" s="3" t="s">
        <v>15</v>
      </c>
      <c r="F98" s="3" t="s">
        <v>212</v>
      </c>
      <c r="G98" s="3" t="s">
        <v>17</v>
      </c>
      <c r="H98" s="3" t="s">
        <v>179</v>
      </c>
      <c r="I98" s="3" t="s">
        <v>19</v>
      </c>
      <c r="J98" s="4" t="s">
        <v>20</v>
      </c>
      <c r="K98" s="3" t="n">
        <v>20737</v>
      </c>
      <c r="L98" s="3" t="s">
        <v>21</v>
      </c>
      <c r="M98" s="3"/>
      <c r="N98" s="3" t="s">
        <v>180</v>
      </c>
    </row>
    <row r="99" customFormat="false" ht="15" hidden="false" customHeight="false" outlineLevel="0" collapsed="false">
      <c r="A99" s="2" t="n">
        <v>45780</v>
      </c>
      <c r="B99" s="3" t="n">
        <v>2025</v>
      </c>
      <c r="C99" s="3" t="n">
        <v>18</v>
      </c>
      <c r="D99" s="3" t="s">
        <v>213</v>
      </c>
      <c r="E99" s="3" t="s">
        <v>15</v>
      </c>
      <c r="F99" s="3" t="s">
        <v>84</v>
      </c>
      <c r="G99" s="3" t="s">
        <v>17</v>
      </c>
      <c r="H99" s="3" t="s">
        <v>179</v>
      </c>
      <c r="I99" s="3" t="s">
        <v>19</v>
      </c>
      <c r="J99" s="4" t="s">
        <v>20</v>
      </c>
      <c r="K99" s="3" t="n">
        <v>20167</v>
      </c>
      <c r="L99" s="3" t="s">
        <v>21</v>
      </c>
      <c r="M99" s="3"/>
      <c r="N99" s="3" t="s">
        <v>180</v>
      </c>
    </row>
    <row r="100" customFormat="false" ht="15" hidden="false" customHeight="false" outlineLevel="0" collapsed="false">
      <c r="A100" s="2" t="n">
        <v>45794</v>
      </c>
      <c r="B100" s="3" t="n">
        <v>2025</v>
      </c>
      <c r="C100" s="3" t="n">
        <v>20</v>
      </c>
      <c r="D100" s="3" t="s">
        <v>214</v>
      </c>
      <c r="E100" s="3" t="s">
        <v>15</v>
      </c>
      <c r="F100" s="3" t="s">
        <v>215</v>
      </c>
      <c r="G100" s="3" t="s">
        <v>17</v>
      </c>
      <c r="H100" s="3" t="s">
        <v>179</v>
      </c>
      <c r="I100" s="3" t="s">
        <v>19</v>
      </c>
      <c r="J100" s="4" t="s">
        <v>20</v>
      </c>
      <c r="K100" s="3" t="n">
        <v>20363</v>
      </c>
      <c r="L100" s="3" t="s">
        <v>21</v>
      </c>
      <c r="M100" s="3"/>
      <c r="N100" s="3" t="s">
        <v>180</v>
      </c>
    </row>
    <row r="101" customFormat="false" ht="15" hidden="false" customHeight="false" outlineLevel="0" collapsed="false">
      <c r="A101" s="2" t="n">
        <v>45805</v>
      </c>
      <c r="B101" s="3" t="n">
        <v>2025</v>
      </c>
      <c r="C101" s="3" t="n">
        <v>22</v>
      </c>
      <c r="D101" s="3" t="s">
        <v>216</v>
      </c>
      <c r="E101" s="3" t="s">
        <v>63</v>
      </c>
      <c r="F101" s="3" t="s">
        <v>75</v>
      </c>
      <c r="G101" s="3" t="s">
        <v>17</v>
      </c>
      <c r="H101" s="3" t="s">
        <v>179</v>
      </c>
      <c r="I101" s="3" t="s">
        <v>19</v>
      </c>
      <c r="J101" s="4" t="s">
        <v>20</v>
      </c>
      <c r="K101" s="3" t="n">
        <v>20022</v>
      </c>
      <c r="L101" s="3" t="s">
        <v>21</v>
      </c>
      <c r="M101" s="3"/>
      <c r="N101" s="3" t="s">
        <v>180</v>
      </c>
    </row>
    <row r="102" customFormat="false" ht="15" hidden="false" customHeight="false" outlineLevel="0" collapsed="false">
      <c r="A102" s="2" t="n">
        <v>45822</v>
      </c>
      <c r="B102" s="3" t="n">
        <v>2025</v>
      </c>
      <c r="C102" s="3" t="n">
        <v>24</v>
      </c>
      <c r="D102" s="3" t="s">
        <v>217</v>
      </c>
      <c r="E102" s="3" t="s">
        <v>15</v>
      </c>
      <c r="F102" s="3" t="s">
        <v>218</v>
      </c>
      <c r="G102" s="3" t="s">
        <v>17</v>
      </c>
      <c r="H102" s="3" t="s">
        <v>179</v>
      </c>
      <c r="I102" s="3" t="s">
        <v>19</v>
      </c>
      <c r="J102" s="4" t="s">
        <v>20</v>
      </c>
      <c r="K102" s="3" t="n">
        <v>20721</v>
      </c>
      <c r="L102" s="3" t="s">
        <v>21</v>
      </c>
      <c r="M102" s="3"/>
      <c r="N102" s="3" t="s">
        <v>180</v>
      </c>
    </row>
    <row r="103" customFormat="false" ht="15" hidden="false" customHeight="false" outlineLevel="0" collapsed="false">
      <c r="A103" s="2" t="n">
        <v>45826</v>
      </c>
      <c r="B103" s="3" t="n">
        <v>2025</v>
      </c>
      <c r="C103" s="3" t="n">
        <v>25</v>
      </c>
      <c r="D103" s="3" t="s">
        <v>219</v>
      </c>
      <c r="E103" s="3" t="s">
        <v>63</v>
      </c>
      <c r="F103" s="3" t="s">
        <v>220</v>
      </c>
      <c r="G103" s="3" t="s">
        <v>65</v>
      </c>
      <c r="H103" s="3" t="s">
        <v>66</v>
      </c>
      <c r="I103" s="3" t="s">
        <v>66</v>
      </c>
      <c r="J103" s="5" t="s">
        <v>28</v>
      </c>
      <c r="K103" s="3"/>
      <c r="L103" s="3" t="s">
        <v>21</v>
      </c>
      <c r="M103" s="3"/>
      <c r="N103" s="3" t="s">
        <v>221</v>
      </c>
    </row>
    <row r="104" customFormat="false" ht="15" hidden="false" customHeight="false" outlineLevel="0" collapsed="false">
      <c r="A104" s="2" t="n">
        <v>45828</v>
      </c>
      <c r="B104" s="3" t="n">
        <v>2025</v>
      </c>
      <c r="C104" s="3" t="n">
        <v>25</v>
      </c>
      <c r="D104" s="3" t="s">
        <v>219</v>
      </c>
      <c r="E104" s="3" t="s">
        <v>57</v>
      </c>
      <c r="F104" s="3" t="s">
        <v>222</v>
      </c>
      <c r="G104" s="3" t="s">
        <v>59</v>
      </c>
      <c r="H104" s="3" t="s">
        <v>60</v>
      </c>
      <c r="I104" s="3" t="s">
        <v>60</v>
      </c>
      <c r="J104" s="5" t="s">
        <v>28</v>
      </c>
      <c r="K104" s="3"/>
      <c r="L104" s="3" t="s">
        <v>21</v>
      </c>
      <c r="M104" s="3"/>
      <c r="N104" s="3" t="s">
        <v>223</v>
      </c>
    </row>
    <row r="105" customFormat="false" ht="15" hidden="false" customHeight="false" outlineLevel="0" collapsed="false">
      <c r="A105" s="2" t="n">
        <v>45833</v>
      </c>
      <c r="B105" s="3" t="n">
        <v>2025</v>
      </c>
      <c r="C105" s="3" t="n">
        <v>26</v>
      </c>
      <c r="D105" s="3" t="s">
        <v>224</v>
      </c>
      <c r="E105" s="3" t="s">
        <v>63</v>
      </c>
      <c r="F105" s="3" t="s">
        <v>16</v>
      </c>
      <c r="G105" s="3" t="s">
        <v>17</v>
      </c>
      <c r="H105" s="3" t="s">
        <v>179</v>
      </c>
      <c r="I105" s="3" t="s">
        <v>19</v>
      </c>
      <c r="J105" s="4" t="s">
        <v>20</v>
      </c>
      <c r="K105" s="3" t="n">
        <v>20420</v>
      </c>
      <c r="L105" s="3" t="s">
        <v>21</v>
      </c>
      <c r="M105" s="3"/>
      <c r="N105" s="3" t="s">
        <v>180</v>
      </c>
    </row>
    <row r="106" customFormat="false" ht="15" hidden="false" customHeight="false" outlineLevel="0" collapsed="false">
      <c r="A106" s="2" t="n">
        <v>45835</v>
      </c>
      <c r="B106" s="3" t="n">
        <v>2025</v>
      </c>
      <c r="C106" s="3" t="n">
        <v>26</v>
      </c>
      <c r="D106" s="3" t="s">
        <v>224</v>
      </c>
      <c r="E106" s="3" t="s">
        <v>57</v>
      </c>
      <c r="F106" s="3" t="s">
        <v>225</v>
      </c>
      <c r="G106" s="3" t="s">
        <v>59</v>
      </c>
      <c r="H106" s="3" t="s">
        <v>71</v>
      </c>
      <c r="I106" s="3" t="s">
        <v>71</v>
      </c>
      <c r="J106" s="5" t="s">
        <v>28</v>
      </c>
      <c r="K106" s="3" t="n">
        <v>200000</v>
      </c>
      <c r="L106" s="3" t="s">
        <v>21</v>
      </c>
      <c r="M106" s="3"/>
      <c r="N106" s="3" t="s">
        <v>226</v>
      </c>
    </row>
    <row r="107" customFormat="false" ht="15" hidden="false" customHeight="false" outlineLevel="0" collapsed="false">
      <c r="A107" s="2" t="n">
        <v>45837</v>
      </c>
      <c r="B107" s="3" t="n">
        <v>2025</v>
      </c>
      <c r="C107" s="3" t="n">
        <v>26</v>
      </c>
      <c r="D107" s="3" t="s">
        <v>224</v>
      </c>
      <c r="E107" s="3" t="s">
        <v>131</v>
      </c>
      <c r="F107" s="3" t="s">
        <v>121</v>
      </c>
      <c r="G107" s="3" t="s">
        <v>17</v>
      </c>
      <c r="H107" s="3" t="s">
        <v>179</v>
      </c>
      <c r="I107" s="3" t="s">
        <v>19</v>
      </c>
      <c r="J107" s="4" t="s">
        <v>20</v>
      </c>
      <c r="K107" s="3" t="n">
        <v>20559</v>
      </c>
      <c r="L107" s="3" t="s">
        <v>21</v>
      </c>
      <c r="M107" s="3"/>
      <c r="N107" s="3" t="s">
        <v>180</v>
      </c>
    </row>
    <row r="108" customFormat="false" ht="15" hidden="false" customHeight="false" outlineLevel="0" collapsed="false">
      <c r="A108" s="2" t="n">
        <v>45841</v>
      </c>
      <c r="B108" s="3" t="n">
        <v>2025</v>
      </c>
      <c r="C108" s="3" t="n">
        <v>27</v>
      </c>
      <c r="D108" s="3" t="s">
        <v>227</v>
      </c>
      <c r="E108" s="3" t="s">
        <v>24</v>
      </c>
      <c r="F108" s="3" t="s">
        <v>73</v>
      </c>
      <c r="G108" s="3" t="s">
        <v>59</v>
      </c>
      <c r="H108" s="3" t="s">
        <v>60</v>
      </c>
      <c r="I108" s="3" t="s">
        <v>60</v>
      </c>
      <c r="J108" s="5" t="s">
        <v>28</v>
      </c>
      <c r="K108" s="3" t="n">
        <v>400000</v>
      </c>
      <c r="L108" s="3" t="s">
        <v>21</v>
      </c>
      <c r="M108" s="3"/>
      <c r="N108" s="3" t="s">
        <v>223</v>
      </c>
    </row>
    <row r="109" customFormat="false" ht="15" hidden="false" customHeight="false" outlineLevel="0" collapsed="false">
      <c r="A109" s="2" t="n">
        <v>45842</v>
      </c>
      <c r="B109" s="3" t="n">
        <v>2025</v>
      </c>
      <c r="C109" s="3" t="n">
        <v>27</v>
      </c>
      <c r="D109" s="3" t="s">
        <v>227</v>
      </c>
      <c r="E109" s="3" t="s">
        <v>57</v>
      </c>
      <c r="F109" s="3" t="s">
        <v>78</v>
      </c>
      <c r="G109" s="3" t="s">
        <v>79</v>
      </c>
      <c r="H109" s="3" t="s">
        <v>80</v>
      </c>
      <c r="I109" s="3" t="s">
        <v>80</v>
      </c>
      <c r="J109" s="5" t="s">
        <v>28</v>
      </c>
      <c r="K109" s="3"/>
      <c r="L109" s="3" t="s">
        <v>21</v>
      </c>
      <c r="M109" s="3"/>
      <c r="N109" s="3" t="s">
        <v>81</v>
      </c>
    </row>
    <row r="110" customFormat="false" ht="15" hidden="false" customHeight="false" outlineLevel="0" collapsed="false">
      <c r="A110" s="2" t="n">
        <v>45857</v>
      </c>
      <c r="B110" s="3" t="n">
        <v>2025</v>
      </c>
      <c r="C110" s="3" t="n">
        <v>29</v>
      </c>
      <c r="D110" s="3" t="s">
        <v>228</v>
      </c>
      <c r="E110" s="3" t="s">
        <v>15</v>
      </c>
      <c r="F110" s="3" t="s">
        <v>41</v>
      </c>
      <c r="G110" s="3" t="s">
        <v>17</v>
      </c>
      <c r="H110" s="3" t="s">
        <v>179</v>
      </c>
      <c r="I110" s="3" t="s">
        <v>19</v>
      </c>
      <c r="J110" s="4" t="s">
        <v>20</v>
      </c>
      <c r="K110" s="3" t="n">
        <v>20668</v>
      </c>
      <c r="L110" s="3" t="s">
        <v>21</v>
      </c>
      <c r="M110" s="3"/>
      <c r="N110" s="3" t="s">
        <v>180</v>
      </c>
    </row>
    <row r="111" customFormat="false" ht="15" hidden="false" customHeight="false" outlineLevel="0" collapsed="false">
      <c r="A111" s="2" t="n">
        <v>45861</v>
      </c>
      <c r="B111" s="3" t="n">
        <v>2025</v>
      </c>
      <c r="C111" s="3" t="n">
        <v>30</v>
      </c>
      <c r="D111" s="3" t="s">
        <v>229</v>
      </c>
      <c r="E111" s="3" t="s">
        <v>63</v>
      </c>
      <c r="F111" s="3" t="s">
        <v>230</v>
      </c>
      <c r="G111" s="3" t="s">
        <v>59</v>
      </c>
      <c r="H111" s="3" t="s">
        <v>93</v>
      </c>
      <c r="I111" s="3" t="s">
        <v>93</v>
      </c>
      <c r="J111" s="5" t="s">
        <v>28</v>
      </c>
      <c r="K111" s="3" t="n">
        <v>800000</v>
      </c>
      <c r="L111" s="3" t="s">
        <v>21</v>
      </c>
      <c r="M111" s="3"/>
      <c r="N111" s="3" t="s">
        <v>231</v>
      </c>
    </row>
    <row r="112" customFormat="false" ht="15" hidden="false" customHeight="false" outlineLevel="0" collapsed="false">
      <c r="A112" s="2" t="n">
        <v>45863</v>
      </c>
      <c r="B112" s="3" t="n">
        <v>2025</v>
      </c>
      <c r="C112" s="3" t="n">
        <v>30</v>
      </c>
      <c r="D112" s="3" t="s">
        <v>229</v>
      </c>
      <c r="E112" s="3" t="s">
        <v>57</v>
      </c>
      <c r="F112" s="3" t="s">
        <v>117</v>
      </c>
      <c r="G112" s="3" t="s">
        <v>17</v>
      </c>
      <c r="H112" s="3" t="s">
        <v>179</v>
      </c>
      <c r="I112" s="3" t="s">
        <v>19</v>
      </c>
      <c r="J112" s="4" t="s">
        <v>20</v>
      </c>
      <c r="K112" s="3" t="n">
        <v>20641</v>
      </c>
      <c r="L112" s="3" t="s">
        <v>21</v>
      </c>
      <c r="M112" s="3"/>
      <c r="N112" s="3" t="s">
        <v>180</v>
      </c>
    </row>
    <row r="113" customFormat="false" ht="15" hidden="false" customHeight="false" outlineLevel="0" collapsed="false">
      <c r="A113" s="2" t="n">
        <v>45875</v>
      </c>
      <c r="B113" s="3" t="n">
        <v>2025</v>
      </c>
      <c r="C113" s="3" t="n">
        <v>32</v>
      </c>
      <c r="D113" s="3" t="s">
        <v>232</v>
      </c>
      <c r="E113" s="3" t="s">
        <v>63</v>
      </c>
      <c r="F113" s="3" t="s">
        <v>233</v>
      </c>
      <c r="G113" s="3" t="s">
        <v>86</v>
      </c>
      <c r="H113" s="3" t="s">
        <v>234</v>
      </c>
      <c r="I113" s="3" t="s">
        <v>234</v>
      </c>
      <c r="J113" s="5" t="s">
        <v>28</v>
      </c>
      <c r="K113" s="3"/>
      <c r="L113" s="3" t="s">
        <v>21</v>
      </c>
      <c r="M113" s="3" t="s">
        <v>235</v>
      </c>
      <c r="N113" s="3" t="s">
        <v>236</v>
      </c>
    </row>
    <row r="114" customFormat="false" ht="15" hidden="false" customHeight="false" outlineLevel="0" collapsed="false">
      <c r="A114" s="2" t="n">
        <v>45892</v>
      </c>
      <c r="B114" s="3" t="n">
        <v>2025</v>
      </c>
      <c r="C114" s="3" t="n">
        <v>34</v>
      </c>
      <c r="D114" s="3" t="s">
        <v>237</v>
      </c>
      <c r="E114" s="3" t="s">
        <v>15</v>
      </c>
      <c r="F114" s="3" t="s">
        <v>123</v>
      </c>
      <c r="G114" s="3" t="s">
        <v>17</v>
      </c>
      <c r="H114" s="3" t="s">
        <v>179</v>
      </c>
      <c r="I114" s="3" t="s">
        <v>19</v>
      </c>
      <c r="J114" s="4" t="s">
        <v>20</v>
      </c>
      <c r="K114" s="3" t="n">
        <v>20777</v>
      </c>
      <c r="L114" s="3" t="s">
        <v>21</v>
      </c>
      <c r="M114" s="3"/>
      <c r="N114" s="3" t="s">
        <v>180</v>
      </c>
    </row>
    <row r="115" customFormat="false" ht="15" hidden="false" customHeight="false" outlineLevel="0" collapsed="false">
      <c r="A115" s="2" t="n">
        <v>45899</v>
      </c>
      <c r="B115" s="3" t="n">
        <v>2025</v>
      </c>
      <c r="C115" s="3" t="n">
        <v>35</v>
      </c>
      <c r="D115" s="3" t="s">
        <v>238</v>
      </c>
      <c r="E115" s="3" t="s">
        <v>15</v>
      </c>
      <c r="F115" s="3" t="s">
        <v>239</v>
      </c>
      <c r="G115" s="3" t="s">
        <v>101</v>
      </c>
      <c r="H115" s="3" t="s">
        <v>102</v>
      </c>
      <c r="I115" s="3" t="s">
        <v>103</v>
      </c>
      <c r="J115" s="4" t="s">
        <v>20</v>
      </c>
      <c r="K115" s="3" t="n">
        <v>95995</v>
      </c>
      <c r="L115" s="3" t="s">
        <v>21</v>
      </c>
      <c r="M115" s="3" t="s">
        <v>104</v>
      </c>
      <c r="N115" s="3" t="s">
        <v>105</v>
      </c>
    </row>
    <row r="116" customFormat="false" ht="15" hidden="false" customHeight="false" outlineLevel="0" collapsed="false">
      <c r="A116" s="2" t="n">
        <v>45906</v>
      </c>
      <c r="B116" s="3" t="n">
        <v>2025</v>
      </c>
      <c r="C116" s="3" t="n">
        <v>36</v>
      </c>
      <c r="D116" s="3" t="s">
        <v>240</v>
      </c>
      <c r="E116" s="3" t="s">
        <v>15</v>
      </c>
      <c r="F116" s="3" t="s">
        <v>241</v>
      </c>
      <c r="G116" s="3" t="s">
        <v>101</v>
      </c>
      <c r="H116" s="3" t="s">
        <v>102</v>
      </c>
      <c r="I116" s="3" t="s">
        <v>103</v>
      </c>
      <c r="J116" s="4" t="s">
        <v>20</v>
      </c>
      <c r="K116" s="3" t="n">
        <v>81165</v>
      </c>
      <c r="L116" s="3" t="s">
        <v>21</v>
      </c>
      <c r="M116" s="3" t="s">
        <v>104</v>
      </c>
      <c r="N116" s="3" t="s">
        <v>105</v>
      </c>
    </row>
    <row r="117" customFormat="false" ht="15" hidden="false" customHeight="false" outlineLevel="0" collapsed="false">
      <c r="A117" s="2" t="n">
        <v>45913</v>
      </c>
      <c r="B117" s="3" t="n">
        <v>2025</v>
      </c>
      <c r="C117" s="3" t="n">
        <v>37</v>
      </c>
      <c r="D117" s="3" t="s">
        <v>242</v>
      </c>
      <c r="E117" s="3" t="s">
        <v>15</v>
      </c>
      <c r="F117" s="3" t="s">
        <v>243</v>
      </c>
      <c r="G117" s="3" t="s">
        <v>101</v>
      </c>
      <c r="H117" s="3" t="s">
        <v>102</v>
      </c>
      <c r="I117" s="3" t="s">
        <v>103</v>
      </c>
      <c r="J117" s="4" t="s">
        <v>20</v>
      </c>
      <c r="K117" s="3" t="n">
        <v>93731</v>
      </c>
      <c r="L117" s="3" t="s">
        <v>21</v>
      </c>
      <c r="M117" s="3" t="s">
        <v>104</v>
      </c>
      <c r="N117" s="3" t="s">
        <v>105</v>
      </c>
    </row>
    <row r="118" customFormat="false" ht="15" hidden="false" customHeight="false" outlineLevel="0" collapsed="false">
      <c r="A118" s="2" t="n">
        <v>45920</v>
      </c>
      <c r="B118" s="3" t="n">
        <v>2025</v>
      </c>
      <c r="C118" s="3" t="n">
        <v>38</v>
      </c>
      <c r="D118" s="3" t="s">
        <v>244</v>
      </c>
      <c r="E118" s="3" t="s">
        <v>15</v>
      </c>
      <c r="F118" s="3" t="s">
        <v>82</v>
      </c>
      <c r="G118" s="3" t="s">
        <v>17</v>
      </c>
      <c r="H118" s="3" t="s">
        <v>179</v>
      </c>
      <c r="I118" s="3" t="s">
        <v>19</v>
      </c>
      <c r="J118" s="4" t="s">
        <v>20</v>
      </c>
      <c r="K118" s="3" t="n">
        <v>20739</v>
      </c>
      <c r="L118" s="3" t="s">
        <v>21</v>
      </c>
      <c r="M118" s="3"/>
      <c r="N118" s="3" t="s">
        <v>180</v>
      </c>
    </row>
    <row r="119" customFormat="false" ht="15" hidden="false" customHeight="false" outlineLevel="0" collapsed="false">
      <c r="A119" s="2" t="n">
        <v>45925</v>
      </c>
      <c r="B119" s="3" t="n">
        <v>2025</v>
      </c>
      <c r="C119" s="3" t="n">
        <v>39</v>
      </c>
      <c r="D119" s="3" t="s">
        <v>245</v>
      </c>
      <c r="E119" s="3" t="s">
        <v>24</v>
      </c>
      <c r="F119" s="3" t="s">
        <v>246</v>
      </c>
      <c r="G119" s="3" t="s">
        <v>86</v>
      </c>
      <c r="H119" s="3" t="s">
        <v>127</v>
      </c>
      <c r="I119" s="3" t="s">
        <v>127</v>
      </c>
      <c r="J119" s="5" t="s">
        <v>28</v>
      </c>
      <c r="K119" s="3"/>
      <c r="L119" s="3" t="s">
        <v>21</v>
      </c>
      <c r="M119" s="3"/>
      <c r="N119" s="3" t="s">
        <v>247</v>
      </c>
    </row>
    <row r="120" customFormat="false" ht="15" hidden="false" customHeight="false" outlineLevel="0" collapsed="false">
      <c r="A120" s="2" t="n">
        <v>45934</v>
      </c>
      <c r="B120" s="3" t="n">
        <v>2025</v>
      </c>
      <c r="C120" s="3" t="n">
        <v>40</v>
      </c>
      <c r="D120" s="3" t="s">
        <v>248</v>
      </c>
      <c r="E120" s="3" t="s">
        <v>15</v>
      </c>
      <c r="F120" s="3" t="s">
        <v>249</v>
      </c>
      <c r="G120" s="3" t="s">
        <v>101</v>
      </c>
      <c r="H120" s="3" t="s">
        <v>102</v>
      </c>
      <c r="I120" s="3" t="s">
        <v>103</v>
      </c>
      <c r="J120" s="4" t="s">
        <v>20</v>
      </c>
      <c r="K120" s="3" t="n">
        <v>91580</v>
      </c>
      <c r="L120" s="3" t="s">
        <v>21</v>
      </c>
      <c r="M120" s="3" t="s">
        <v>104</v>
      </c>
      <c r="N120" s="3" t="s">
        <v>105</v>
      </c>
    </row>
    <row r="121" customFormat="false" ht="15" hidden="false" customHeight="false" outlineLevel="0" collapsed="false">
      <c r="A121" s="2" t="n">
        <v>45943</v>
      </c>
      <c r="B121" s="3" t="n">
        <v>2025</v>
      </c>
      <c r="C121" s="3" t="n">
        <v>42</v>
      </c>
      <c r="D121" s="3" t="s">
        <v>250</v>
      </c>
      <c r="E121" s="3" t="s">
        <v>108</v>
      </c>
      <c r="F121" s="3" t="s">
        <v>162</v>
      </c>
      <c r="G121" s="3" t="s">
        <v>126</v>
      </c>
      <c r="H121" s="3" t="s">
        <v>127</v>
      </c>
      <c r="I121" s="3" t="s">
        <v>19</v>
      </c>
      <c r="J121" s="4" t="s">
        <v>20</v>
      </c>
      <c r="K121" s="3" t="n">
        <v>18627</v>
      </c>
      <c r="L121" s="3" t="s">
        <v>21</v>
      </c>
      <c r="M121" s="3"/>
      <c r="N121" s="3" t="s">
        <v>128</v>
      </c>
    </row>
    <row r="122" customFormat="false" ht="15" hidden="false" customHeight="false" outlineLevel="0" collapsed="false">
      <c r="A122" s="2" t="n">
        <v>45946</v>
      </c>
      <c r="B122" s="3" t="n">
        <v>2025</v>
      </c>
      <c r="C122" s="3" t="n">
        <v>42</v>
      </c>
      <c r="D122" s="3" t="s">
        <v>250</v>
      </c>
      <c r="E122" s="3" t="s">
        <v>24</v>
      </c>
      <c r="F122" s="3" t="s">
        <v>203</v>
      </c>
      <c r="G122" s="3" t="s">
        <v>126</v>
      </c>
      <c r="H122" s="3" t="s">
        <v>127</v>
      </c>
      <c r="I122" s="3" t="s">
        <v>19</v>
      </c>
      <c r="J122" s="4" t="s">
        <v>20</v>
      </c>
      <c r="K122" s="3" t="n">
        <v>17249</v>
      </c>
      <c r="L122" s="3" t="s">
        <v>21</v>
      </c>
      <c r="M122" s="3"/>
      <c r="N122" s="3" t="s">
        <v>128</v>
      </c>
    </row>
    <row r="123" customFormat="false" ht="15" hidden="false" customHeight="false" outlineLevel="0" collapsed="false">
      <c r="A123" s="2" t="n">
        <v>45947</v>
      </c>
      <c r="B123" s="3" t="n">
        <v>2025</v>
      </c>
      <c r="C123" s="3" t="n">
        <v>42</v>
      </c>
      <c r="D123" s="3" t="s">
        <v>250</v>
      </c>
      <c r="E123" s="3" t="s">
        <v>57</v>
      </c>
      <c r="F123" s="3" t="s">
        <v>251</v>
      </c>
      <c r="G123" s="3" t="s">
        <v>133</v>
      </c>
      <c r="H123" s="3" t="s">
        <v>60</v>
      </c>
      <c r="I123" s="3" t="s">
        <v>60</v>
      </c>
      <c r="J123" s="5" t="s">
        <v>28</v>
      </c>
      <c r="K123" s="3" t="n">
        <v>15000</v>
      </c>
      <c r="L123" s="3" t="s">
        <v>21</v>
      </c>
      <c r="M123" s="3"/>
      <c r="N123" s="3" t="s">
        <v>252</v>
      </c>
    </row>
    <row r="124" customFormat="false" ht="15" hidden="false" customHeight="false" outlineLevel="0" collapsed="false">
      <c r="A124" s="2" t="n">
        <v>45948</v>
      </c>
      <c r="B124" s="3" t="n">
        <v>2025</v>
      </c>
      <c r="C124" s="3" t="n">
        <v>42</v>
      </c>
      <c r="D124" s="3" t="s">
        <v>250</v>
      </c>
      <c r="E124" s="3" t="s">
        <v>15</v>
      </c>
      <c r="F124" s="3" t="s">
        <v>147</v>
      </c>
      <c r="G124" s="3" t="s">
        <v>126</v>
      </c>
      <c r="H124" s="3" t="s">
        <v>127</v>
      </c>
      <c r="I124" s="3" t="s">
        <v>19</v>
      </c>
      <c r="J124" s="4" t="s">
        <v>20</v>
      </c>
      <c r="K124" s="3" t="n">
        <v>15822</v>
      </c>
      <c r="L124" s="3" t="s">
        <v>21</v>
      </c>
      <c r="M124" s="3"/>
      <c r="N124" s="3" t="s">
        <v>128</v>
      </c>
    </row>
    <row r="125" customFormat="false" ht="15" hidden="false" customHeight="false" outlineLevel="0" collapsed="false">
      <c r="A125" s="2" t="n">
        <v>45948</v>
      </c>
      <c r="B125" s="3" t="n">
        <v>2025</v>
      </c>
      <c r="C125" s="3" t="n">
        <v>42</v>
      </c>
      <c r="D125" s="3" t="s">
        <v>250</v>
      </c>
      <c r="E125" s="3" t="s">
        <v>15</v>
      </c>
      <c r="F125" s="3" t="s">
        <v>33</v>
      </c>
      <c r="G125" s="3" t="s">
        <v>17</v>
      </c>
      <c r="H125" s="3" t="s">
        <v>179</v>
      </c>
      <c r="I125" s="3" t="s">
        <v>19</v>
      </c>
      <c r="J125" s="4" t="s">
        <v>20</v>
      </c>
      <c r="K125" s="3" t="n">
        <v>20736</v>
      </c>
      <c r="L125" s="3" t="s">
        <v>21</v>
      </c>
      <c r="M125" s="3"/>
      <c r="N125" s="3" t="s">
        <v>180</v>
      </c>
    </row>
    <row r="126" customFormat="false" ht="15" hidden="false" customHeight="false" outlineLevel="0" collapsed="false">
      <c r="A126" s="2" t="n">
        <v>45954</v>
      </c>
      <c r="B126" s="3" t="n">
        <v>2025</v>
      </c>
      <c r="C126" s="3" t="n">
        <v>43</v>
      </c>
      <c r="D126" s="3" t="s">
        <v>253</v>
      </c>
      <c r="E126" s="3" t="s">
        <v>57</v>
      </c>
      <c r="F126" s="3" t="s">
        <v>159</v>
      </c>
      <c r="G126" s="3" t="s">
        <v>126</v>
      </c>
      <c r="H126" s="3" t="s">
        <v>127</v>
      </c>
      <c r="I126" s="3" t="s">
        <v>19</v>
      </c>
      <c r="J126" s="4" t="s">
        <v>20</v>
      </c>
      <c r="K126" s="3" t="n">
        <v>17714</v>
      </c>
      <c r="L126" s="3" t="s">
        <v>21</v>
      </c>
      <c r="M126" s="3"/>
      <c r="N126" s="3" t="s">
        <v>128</v>
      </c>
    </row>
    <row r="127" customFormat="false" ht="15" hidden="false" customHeight="false" outlineLevel="0" collapsed="false">
      <c r="A127" s="2" t="n">
        <v>45959</v>
      </c>
      <c r="B127" s="3" t="n">
        <v>2025</v>
      </c>
      <c r="C127" s="3" t="n">
        <v>44</v>
      </c>
      <c r="D127" s="3" t="s">
        <v>254</v>
      </c>
      <c r="E127" s="3" t="s">
        <v>63</v>
      </c>
      <c r="F127" s="3" t="s">
        <v>136</v>
      </c>
      <c r="G127" s="3" t="s">
        <v>126</v>
      </c>
      <c r="H127" s="3" t="s">
        <v>127</v>
      </c>
      <c r="I127" s="3" t="s">
        <v>19</v>
      </c>
      <c r="J127" s="4" t="s">
        <v>20</v>
      </c>
      <c r="K127" s="3" t="n">
        <v>16558</v>
      </c>
      <c r="L127" s="3" t="s">
        <v>21</v>
      </c>
      <c r="M127" s="3"/>
      <c r="N127" s="3" t="s">
        <v>128</v>
      </c>
    </row>
    <row r="128" customFormat="false" ht="15" hidden="false" customHeight="false" outlineLevel="0" collapsed="false">
      <c r="A128" s="2" t="n">
        <v>45962</v>
      </c>
      <c r="B128" s="3" t="n">
        <v>2025</v>
      </c>
      <c r="C128" s="3" t="n">
        <v>44</v>
      </c>
      <c r="D128" s="3" t="s">
        <v>254</v>
      </c>
      <c r="E128" s="3" t="s">
        <v>15</v>
      </c>
      <c r="F128" s="3" t="s">
        <v>255</v>
      </c>
      <c r="G128" s="3" t="s">
        <v>101</v>
      </c>
      <c r="H128" s="3" t="s">
        <v>102</v>
      </c>
      <c r="I128" s="3" t="s">
        <v>103</v>
      </c>
      <c r="J128" s="4" t="s">
        <v>20</v>
      </c>
      <c r="K128" s="3" t="n">
        <v>91963</v>
      </c>
      <c r="L128" s="3" t="s">
        <v>21</v>
      </c>
      <c r="M128" s="3" t="s">
        <v>104</v>
      </c>
      <c r="N128" s="3" t="s">
        <v>105</v>
      </c>
    </row>
    <row r="129" customFormat="false" ht="15" hidden="false" customHeight="false" outlineLevel="0" collapsed="false">
      <c r="A129" s="2" t="n">
        <v>45962</v>
      </c>
      <c r="B129" s="3" t="n">
        <v>2025</v>
      </c>
      <c r="C129" s="3" t="n">
        <v>44</v>
      </c>
      <c r="D129" s="3" t="s">
        <v>254</v>
      </c>
      <c r="E129" s="3" t="s">
        <v>15</v>
      </c>
      <c r="F129" s="3" t="s">
        <v>167</v>
      </c>
      <c r="G129" s="3" t="s">
        <v>126</v>
      </c>
      <c r="H129" s="3" t="s">
        <v>127</v>
      </c>
      <c r="I129" s="3" t="s">
        <v>19</v>
      </c>
      <c r="J129" s="4" t="s">
        <v>20</v>
      </c>
      <c r="K129" s="3" t="n">
        <v>17130</v>
      </c>
      <c r="L129" s="3" t="s">
        <v>21</v>
      </c>
      <c r="M129" s="3"/>
      <c r="N129" s="3" t="s">
        <v>128</v>
      </c>
    </row>
    <row r="130" customFormat="false" ht="15" hidden="false" customHeight="false" outlineLevel="0" collapsed="false">
      <c r="A130" s="2" t="n">
        <v>45969</v>
      </c>
      <c r="B130" s="3" t="n">
        <v>2025</v>
      </c>
      <c r="C130" s="3" t="n">
        <v>45</v>
      </c>
      <c r="D130" s="3" t="s">
        <v>256</v>
      </c>
      <c r="E130" s="3" t="s">
        <v>15</v>
      </c>
      <c r="F130" s="3" t="s">
        <v>257</v>
      </c>
      <c r="G130" s="3" t="s">
        <v>86</v>
      </c>
      <c r="H130" s="3" t="s">
        <v>127</v>
      </c>
      <c r="I130" s="3" t="s">
        <v>127</v>
      </c>
      <c r="J130" s="5" t="s">
        <v>28</v>
      </c>
      <c r="K130" s="3"/>
      <c r="L130" s="3" t="s">
        <v>21</v>
      </c>
      <c r="M130" s="3" t="s">
        <v>258</v>
      </c>
      <c r="N130" s="3" t="s">
        <v>247</v>
      </c>
    </row>
    <row r="131" customFormat="false" ht="15" hidden="false" customHeight="false" outlineLevel="0" collapsed="false">
      <c r="A131" s="2" t="n">
        <v>45971</v>
      </c>
      <c r="B131" s="3" t="n">
        <v>2025</v>
      </c>
      <c r="C131" s="3" t="n">
        <v>46</v>
      </c>
      <c r="D131" s="3" t="s">
        <v>259</v>
      </c>
      <c r="E131" s="3" t="s">
        <v>108</v>
      </c>
      <c r="F131" s="3" t="s">
        <v>260</v>
      </c>
      <c r="G131" s="3" t="s">
        <v>86</v>
      </c>
      <c r="H131" s="3" t="s">
        <v>87</v>
      </c>
      <c r="I131" s="3" t="s">
        <v>87</v>
      </c>
      <c r="J131" s="5" t="s">
        <v>28</v>
      </c>
      <c r="K131" s="3"/>
      <c r="L131" s="3" t="s">
        <v>21</v>
      </c>
      <c r="M131" s="3"/>
      <c r="N131" s="3" t="s">
        <v>247</v>
      </c>
    </row>
    <row r="132" customFormat="false" ht="15" hidden="false" customHeight="false" outlineLevel="0" collapsed="false">
      <c r="A132" s="2" t="n">
        <v>45974</v>
      </c>
      <c r="B132" s="3" t="n">
        <v>2025</v>
      </c>
      <c r="C132" s="3" t="n">
        <v>46</v>
      </c>
      <c r="D132" s="3" t="s">
        <v>259</v>
      </c>
      <c r="E132" s="3" t="s">
        <v>24</v>
      </c>
      <c r="F132" s="3" t="s">
        <v>139</v>
      </c>
      <c r="G132" s="3" t="s">
        <v>126</v>
      </c>
      <c r="H132" s="3" t="s">
        <v>127</v>
      </c>
      <c r="I132" s="3" t="s">
        <v>19</v>
      </c>
      <c r="J132" s="4" t="s">
        <v>20</v>
      </c>
      <c r="K132" s="3" t="n">
        <v>18749</v>
      </c>
      <c r="L132" s="3" t="s">
        <v>21</v>
      </c>
      <c r="M132" s="3"/>
      <c r="N132" s="3" t="s">
        <v>128</v>
      </c>
    </row>
    <row r="133" customFormat="false" ht="15" hidden="false" customHeight="false" outlineLevel="0" collapsed="false">
      <c r="A133" s="2" t="n">
        <v>45976</v>
      </c>
      <c r="B133" s="3" t="n">
        <v>2025</v>
      </c>
      <c r="C133" s="3" t="n">
        <v>46</v>
      </c>
      <c r="D133" s="3" t="s">
        <v>259</v>
      </c>
      <c r="E133" s="3" t="s">
        <v>15</v>
      </c>
      <c r="F133" s="3" t="s">
        <v>261</v>
      </c>
      <c r="G133" s="3" t="s">
        <v>101</v>
      </c>
      <c r="H133" s="3" t="s">
        <v>102</v>
      </c>
      <c r="I133" s="3" t="s">
        <v>103</v>
      </c>
      <c r="J133" s="4" t="s">
        <v>20</v>
      </c>
      <c r="K133" s="3" t="n">
        <v>89249</v>
      </c>
      <c r="L133" s="3" t="s">
        <v>21</v>
      </c>
      <c r="M133" s="3" t="s">
        <v>104</v>
      </c>
      <c r="N133" s="3" t="s">
        <v>105</v>
      </c>
    </row>
    <row r="134" customFormat="false" ht="15" hidden="false" customHeight="false" outlineLevel="0" collapsed="false">
      <c r="A134" s="2" t="n">
        <v>45976</v>
      </c>
      <c r="B134" s="3" t="n">
        <v>2025</v>
      </c>
      <c r="C134" s="3" t="n">
        <v>46</v>
      </c>
      <c r="D134" s="3" t="s">
        <v>259</v>
      </c>
      <c r="E134" s="3" t="s">
        <v>15</v>
      </c>
      <c r="F134" s="3" t="s">
        <v>176</v>
      </c>
      <c r="G134" s="3" t="s">
        <v>126</v>
      </c>
      <c r="H134" s="3" t="s">
        <v>127</v>
      </c>
      <c r="I134" s="3" t="s">
        <v>19</v>
      </c>
      <c r="J134" s="4" t="s">
        <v>20</v>
      </c>
      <c r="K134" s="3" t="n">
        <v>16298</v>
      </c>
      <c r="L134" s="3" t="s">
        <v>21</v>
      </c>
      <c r="M134" s="3"/>
      <c r="N134" s="3" t="s">
        <v>128</v>
      </c>
    </row>
    <row r="135" customFormat="false" ht="15" hidden="false" customHeight="false" outlineLevel="0" collapsed="false">
      <c r="A135" s="2" t="n">
        <v>45978</v>
      </c>
      <c r="B135" s="3" t="n">
        <v>2025</v>
      </c>
      <c r="C135" s="3" t="n">
        <v>47</v>
      </c>
      <c r="D135" s="3" t="s">
        <v>262</v>
      </c>
      <c r="E135" s="3" t="s">
        <v>108</v>
      </c>
      <c r="F135" s="3" t="s">
        <v>151</v>
      </c>
      <c r="G135" s="3" t="s">
        <v>126</v>
      </c>
      <c r="H135" s="3" t="s">
        <v>127</v>
      </c>
      <c r="I135" s="3" t="s">
        <v>19</v>
      </c>
      <c r="J135" s="4" t="s">
        <v>20</v>
      </c>
      <c r="K135" s="3" t="n">
        <v>14811</v>
      </c>
      <c r="L135" s="3" t="s">
        <v>21</v>
      </c>
      <c r="M135" s="3"/>
      <c r="N135" s="3" t="s">
        <v>128</v>
      </c>
    </row>
    <row r="136" customFormat="false" ht="15" hidden="false" customHeight="false" outlineLevel="0" collapsed="false">
      <c r="A136" s="2" t="n">
        <v>45983</v>
      </c>
      <c r="B136" s="3" t="n">
        <v>2025</v>
      </c>
      <c r="C136" s="3" t="n">
        <v>47</v>
      </c>
      <c r="D136" s="3" t="s">
        <v>262</v>
      </c>
      <c r="E136" s="3" t="s">
        <v>15</v>
      </c>
      <c r="F136" s="3" t="s">
        <v>263</v>
      </c>
      <c r="G136" s="3" t="s">
        <v>101</v>
      </c>
      <c r="H136" s="3" t="s">
        <v>102</v>
      </c>
      <c r="I136" s="3" t="s">
        <v>103</v>
      </c>
      <c r="J136" s="4" t="s">
        <v>20</v>
      </c>
      <c r="K136" s="3" t="n">
        <v>75746</v>
      </c>
      <c r="L136" s="3" t="s">
        <v>21</v>
      </c>
      <c r="M136" s="3" t="s">
        <v>104</v>
      </c>
      <c r="N136" s="3" t="s">
        <v>105</v>
      </c>
    </row>
    <row r="137" customFormat="false" ht="15" hidden="false" customHeight="false" outlineLevel="0" collapsed="false">
      <c r="A137" s="2" t="n">
        <v>45987</v>
      </c>
      <c r="B137" s="3" t="n">
        <v>2025</v>
      </c>
      <c r="C137" s="3" t="n">
        <v>48</v>
      </c>
      <c r="D137" s="3" t="s">
        <v>264</v>
      </c>
      <c r="E137" s="3" t="s">
        <v>63</v>
      </c>
      <c r="F137" s="3" t="s">
        <v>136</v>
      </c>
      <c r="G137" s="3" t="s">
        <v>126</v>
      </c>
      <c r="H137" s="3" t="s">
        <v>127</v>
      </c>
      <c r="I137" s="3" t="s">
        <v>19</v>
      </c>
      <c r="J137" s="4" t="s">
        <v>20</v>
      </c>
      <c r="K137" s="3" t="n">
        <v>16632</v>
      </c>
      <c r="L137" s="3" t="s">
        <v>21</v>
      </c>
      <c r="M137" s="3"/>
      <c r="N137" s="3" t="s">
        <v>128</v>
      </c>
    </row>
    <row r="138" customFormat="false" ht="15" hidden="false" customHeight="false" outlineLevel="0" collapsed="false">
      <c r="A138" s="2" t="n">
        <v>45989</v>
      </c>
      <c r="B138" s="3" t="n">
        <v>2025</v>
      </c>
      <c r="C138" s="3" t="n">
        <v>48</v>
      </c>
      <c r="D138" s="3" t="s">
        <v>264</v>
      </c>
      <c r="E138" s="3" t="s">
        <v>57</v>
      </c>
      <c r="F138" s="3" t="s">
        <v>145</v>
      </c>
      <c r="G138" s="3" t="s">
        <v>126</v>
      </c>
      <c r="H138" s="3" t="s">
        <v>127</v>
      </c>
      <c r="I138" s="3" t="s">
        <v>19</v>
      </c>
      <c r="J138" s="4" t="s">
        <v>20</v>
      </c>
      <c r="K138" s="3" t="n">
        <v>18194</v>
      </c>
      <c r="L138" s="3" t="s">
        <v>21</v>
      </c>
      <c r="M138" s="3"/>
      <c r="N138" s="3" t="s">
        <v>128</v>
      </c>
    </row>
    <row r="139" customFormat="false" ht="15" hidden="false" customHeight="false" outlineLevel="0" collapsed="false">
      <c r="A139" s="2" t="n">
        <v>45995</v>
      </c>
      <c r="B139" s="3" t="n">
        <v>2025</v>
      </c>
      <c r="C139" s="3" t="n">
        <v>49</v>
      </c>
      <c r="D139" s="3" t="s">
        <v>265</v>
      </c>
      <c r="E139" s="3" t="s">
        <v>24</v>
      </c>
      <c r="F139" s="3" t="s">
        <v>166</v>
      </c>
      <c r="G139" s="3" t="s">
        <v>126</v>
      </c>
      <c r="H139" s="3" t="s">
        <v>127</v>
      </c>
      <c r="I139" s="3" t="s">
        <v>19</v>
      </c>
      <c r="J139" s="4" t="s">
        <v>20</v>
      </c>
      <c r="K139" s="3" t="n">
        <v>16818</v>
      </c>
      <c r="L139" s="3" t="s">
        <v>21</v>
      </c>
      <c r="M139" s="3"/>
      <c r="N139" s="3" t="s">
        <v>128</v>
      </c>
    </row>
    <row r="140" customFormat="false" ht="15" hidden="false" customHeight="false" outlineLevel="0" collapsed="false">
      <c r="A140" s="2" t="n">
        <v>45996</v>
      </c>
      <c r="B140" s="3" t="n">
        <v>2025</v>
      </c>
      <c r="C140" s="3" t="n">
        <v>49</v>
      </c>
      <c r="D140" s="3" t="s">
        <v>265</v>
      </c>
      <c r="E140" s="3" t="s">
        <v>57</v>
      </c>
      <c r="F140" s="3" t="s">
        <v>266</v>
      </c>
      <c r="G140" s="3" t="s">
        <v>65</v>
      </c>
      <c r="H140" s="3" t="s">
        <v>66</v>
      </c>
      <c r="I140" s="3" t="s">
        <v>66</v>
      </c>
      <c r="J140" s="5" t="s">
        <v>28</v>
      </c>
      <c r="K140" s="3"/>
      <c r="L140" s="3" t="s">
        <v>21</v>
      </c>
      <c r="M140" s="3"/>
      <c r="N140" s="3" t="s">
        <v>267</v>
      </c>
    </row>
    <row r="141" customFormat="false" ht="15" hidden="false" customHeight="false" outlineLevel="0" collapsed="false">
      <c r="A141" s="2" t="n">
        <v>46002</v>
      </c>
      <c r="B141" s="3" t="n">
        <v>2025</v>
      </c>
      <c r="C141" s="3" t="n">
        <v>50</v>
      </c>
      <c r="D141" s="3" t="s">
        <v>268</v>
      </c>
      <c r="E141" s="3" t="s">
        <v>24</v>
      </c>
      <c r="F141" s="3" t="s">
        <v>205</v>
      </c>
      <c r="G141" s="3" t="s">
        <v>126</v>
      </c>
      <c r="H141" s="3" t="s">
        <v>127</v>
      </c>
      <c r="I141" s="3" t="s">
        <v>19</v>
      </c>
      <c r="J141" s="4" t="s">
        <v>20</v>
      </c>
      <c r="K141" s="3" t="n">
        <v>15059</v>
      </c>
      <c r="L141" s="3" t="s">
        <v>21</v>
      </c>
      <c r="M141" s="3"/>
      <c r="N141" s="3" t="s">
        <v>128</v>
      </c>
    </row>
    <row r="142" customFormat="false" ht="15" hidden="false" customHeight="false" outlineLevel="0" collapsed="false">
      <c r="A142" s="2" t="n">
        <v>46004</v>
      </c>
      <c r="B142" s="3" t="n">
        <v>2025</v>
      </c>
      <c r="C142" s="3" t="n">
        <v>50</v>
      </c>
      <c r="D142" s="3" t="s">
        <v>268</v>
      </c>
      <c r="E142" s="3" t="s">
        <v>15</v>
      </c>
      <c r="F142" s="3" t="s">
        <v>192</v>
      </c>
      <c r="G142" s="3" t="s">
        <v>126</v>
      </c>
      <c r="H142" s="3" t="s">
        <v>127</v>
      </c>
      <c r="I142" s="3" t="s">
        <v>19</v>
      </c>
      <c r="J142" s="4" t="s">
        <v>20</v>
      </c>
      <c r="K142" s="3" t="n">
        <v>16965</v>
      </c>
      <c r="L142" s="3" t="s">
        <v>21</v>
      </c>
      <c r="M142" s="3"/>
      <c r="N142" s="3" t="s">
        <v>128</v>
      </c>
    </row>
    <row r="143" customFormat="false" ht="15" hidden="false" customHeight="false" outlineLevel="0" collapsed="false">
      <c r="A143" s="2" t="n">
        <v>46007</v>
      </c>
      <c r="B143" s="3" t="n">
        <v>2025</v>
      </c>
      <c r="C143" s="3" t="n">
        <v>51</v>
      </c>
      <c r="D143" s="3" t="s">
        <v>269</v>
      </c>
      <c r="E143" s="3" t="s">
        <v>35</v>
      </c>
      <c r="F143" s="3" t="s">
        <v>160</v>
      </c>
      <c r="G143" s="3" t="s">
        <v>126</v>
      </c>
      <c r="H143" s="3" t="s">
        <v>127</v>
      </c>
      <c r="I143" s="3" t="s">
        <v>19</v>
      </c>
      <c r="J143" s="4" t="s">
        <v>20</v>
      </c>
      <c r="K143" s="3" t="n">
        <v>14120</v>
      </c>
      <c r="L143" s="3" t="s">
        <v>21</v>
      </c>
      <c r="M143" s="3"/>
      <c r="N143" s="3" t="s">
        <v>128</v>
      </c>
    </row>
    <row r="144" customFormat="false" ht="15" hidden="false" customHeight="false" outlineLevel="0" collapsed="false">
      <c r="A144" s="2" t="n">
        <v>46009</v>
      </c>
      <c r="B144" s="3" t="n">
        <v>2025</v>
      </c>
      <c r="C144" s="3" t="n">
        <v>51</v>
      </c>
      <c r="D144" s="3" t="s">
        <v>269</v>
      </c>
      <c r="E144" s="3" t="s">
        <v>24</v>
      </c>
      <c r="F144" s="3" t="s">
        <v>130</v>
      </c>
      <c r="G144" s="3" t="s">
        <v>126</v>
      </c>
      <c r="H144" s="3" t="s">
        <v>127</v>
      </c>
      <c r="I144" s="3" t="s">
        <v>19</v>
      </c>
      <c r="J144" s="4" t="s">
        <v>20</v>
      </c>
      <c r="K144" s="3" t="n">
        <v>14845</v>
      </c>
      <c r="L144" s="3" t="s">
        <v>21</v>
      </c>
      <c r="M144" s="3"/>
      <c r="N144" s="3" t="s">
        <v>128</v>
      </c>
    </row>
    <row r="145" customFormat="false" ht="15" hidden="false" customHeight="false" outlineLevel="0" collapsed="false">
      <c r="A145" s="2" t="n">
        <v>46019</v>
      </c>
      <c r="B145" s="3" t="n">
        <v>2025</v>
      </c>
      <c r="C145" s="3" t="n">
        <v>52</v>
      </c>
      <c r="D145" s="3" t="s">
        <v>270</v>
      </c>
      <c r="E145" s="3" t="s">
        <v>131</v>
      </c>
      <c r="F145" s="3" t="s">
        <v>140</v>
      </c>
      <c r="G145" s="3" t="s">
        <v>126</v>
      </c>
      <c r="H145" s="3" t="s">
        <v>127</v>
      </c>
      <c r="I145" s="3" t="s">
        <v>19</v>
      </c>
      <c r="J145" s="4" t="s">
        <v>20</v>
      </c>
      <c r="K145" s="3" t="n">
        <v>18223</v>
      </c>
      <c r="L145" s="3" t="s">
        <v>21</v>
      </c>
      <c r="M145" s="3"/>
      <c r="N145" s="3" t="s">
        <v>128</v>
      </c>
    </row>
    <row r="146" customFormat="false" ht="15" hidden="false" customHeight="false" outlineLevel="0" collapsed="false">
      <c r="A146" s="2" t="n">
        <v>46022</v>
      </c>
      <c r="B146" s="3" t="n">
        <v>2026</v>
      </c>
      <c r="C146" s="3" t="n">
        <v>1</v>
      </c>
      <c r="D146" s="3" t="s">
        <v>271</v>
      </c>
      <c r="E146" s="3" t="s">
        <v>63</v>
      </c>
      <c r="F146" s="3" t="s">
        <v>162</v>
      </c>
      <c r="G146" s="3" t="s">
        <v>126</v>
      </c>
      <c r="H146" s="3" t="s">
        <v>127</v>
      </c>
      <c r="I146" s="3" t="s">
        <v>19</v>
      </c>
      <c r="J146" s="4" t="s">
        <v>20</v>
      </c>
      <c r="K146" s="3" t="n">
        <v>17163</v>
      </c>
      <c r="L146" s="3" t="s">
        <v>21</v>
      </c>
      <c r="M146" s="3"/>
      <c r="N146" s="3" t="s">
        <v>128</v>
      </c>
    </row>
    <row r="147" customFormat="false" ht="15" hidden="false" customHeight="false" outlineLevel="0" collapsed="false">
      <c r="A147" s="2" t="n">
        <v>46025</v>
      </c>
      <c r="B147" s="3" t="n">
        <v>2026</v>
      </c>
      <c r="C147" s="3" t="n">
        <v>1</v>
      </c>
      <c r="D147" s="3" t="s">
        <v>271</v>
      </c>
      <c r="E147" s="3" t="s">
        <v>15</v>
      </c>
      <c r="F147" s="3" t="s">
        <v>129</v>
      </c>
      <c r="G147" s="3" t="s">
        <v>126</v>
      </c>
      <c r="H147" s="3" t="s">
        <v>127</v>
      </c>
      <c r="I147" s="3" t="s">
        <v>19</v>
      </c>
      <c r="J147" s="4" t="s">
        <v>20</v>
      </c>
      <c r="K147" s="3" t="n">
        <v>18809</v>
      </c>
      <c r="L147" s="3" t="s">
        <v>21</v>
      </c>
      <c r="M147" s="3"/>
      <c r="N147" s="3" t="s">
        <v>128</v>
      </c>
    </row>
    <row r="148" customFormat="false" ht="15" hidden="false" customHeight="false" outlineLevel="0" collapsed="false">
      <c r="A148" s="2" t="n">
        <v>46026</v>
      </c>
      <c r="B148" s="3" t="n">
        <v>2026</v>
      </c>
      <c r="C148" s="3" t="n">
        <v>1</v>
      </c>
      <c r="D148" s="3" t="s">
        <v>271</v>
      </c>
      <c r="E148" s="3" t="s">
        <v>131</v>
      </c>
      <c r="F148" s="3" t="s">
        <v>145</v>
      </c>
      <c r="G148" s="3" t="s">
        <v>126</v>
      </c>
      <c r="H148" s="3" t="s">
        <v>127</v>
      </c>
      <c r="I148" s="3" t="s">
        <v>19</v>
      </c>
      <c r="J148" s="4" t="s">
        <v>20</v>
      </c>
      <c r="K148" s="3" t="n">
        <v>18212</v>
      </c>
      <c r="L148" s="3" t="s">
        <v>21</v>
      </c>
      <c r="M148" s="3"/>
      <c r="N148" s="3" t="s">
        <v>128</v>
      </c>
    </row>
    <row r="149" customFormat="false" ht="15" hidden="false" customHeight="false" outlineLevel="0" collapsed="false">
      <c r="A149" s="2" t="n">
        <v>46035</v>
      </c>
      <c r="B149" s="3" t="n">
        <v>2026</v>
      </c>
      <c r="C149" s="3" t="n">
        <v>3</v>
      </c>
      <c r="D149" s="3" t="s">
        <v>272</v>
      </c>
      <c r="E149" s="3" t="s">
        <v>35</v>
      </c>
      <c r="F149" s="3" t="s">
        <v>152</v>
      </c>
      <c r="G149" s="3" t="s">
        <v>126</v>
      </c>
      <c r="H149" s="3" t="s">
        <v>127</v>
      </c>
      <c r="I149" s="3" t="s">
        <v>19</v>
      </c>
      <c r="J149" s="4" t="s">
        <v>20</v>
      </c>
      <c r="K149" s="3" t="n">
        <v>13385</v>
      </c>
      <c r="L149" s="3" t="s">
        <v>21</v>
      </c>
      <c r="M149" s="3"/>
      <c r="N149" s="3" t="s">
        <v>128</v>
      </c>
    </row>
    <row r="150" customFormat="false" ht="15" hidden="false" customHeight="false" outlineLevel="0" collapsed="false">
      <c r="A150" s="2" t="n">
        <v>46037</v>
      </c>
      <c r="B150" s="3" t="n">
        <v>2026</v>
      </c>
      <c r="C150" s="3" t="n">
        <v>3</v>
      </c>
      <c r="D150" s="3" t="s">
        <v>272</v>
      </c>
      <c r="E150" s="3" t="s">
        <v>24</v>
      </c>
      <c r="F150" s="3" t="s">
        <v>195</v>
      </c>
      <c r="G150" s="3" t="s">
        <v>126</v>
      </c>
      <c r="H150" s="3" t="s">
        <v>127</v>
      </c>
      <c r="I150" s="3" t="s">
        <v>19</v>
      </c>
      <c r="J150" s="4" t="s">
        <v>20</v>
      </c>
      <c r="K150" s="3" t="n">
        <v>14918</v>
      </c>
      <c r="L150" s="3" t="s">
        <v>21</v>
      </c>
      <c r="M150" s="3"/>
      <c r="N150" s="3" t="s">
        <v>128</v>
      </c>
    </row>
    <row r="151" customFormat="false" ht="15" hidden="false" customHeight="false" outlineLevel="0" collapsed="false">
      <c r="A151" s="2" t="n">
        <v>46042</v>
      </c>
      <c r="B151" s="3" t="n">
        <v>2026</v>
      </c>
      <c r="C151" s="3" t="n">
        <v>4</v>
      </c>
      <c r="D151" s="3" t="s">
        <v>273</v>
      </c>
      <c r="E151" s="3" t="s">
        <v>35</v>
      </c>
      <c r="F151" s="3" t="s">
        <v>205</v>
      </c>
      <c r="G151" s="3" t="s">
        <v>126</v>
      </c>
      <c r="H151" s="3" t="s">
        <v>127</v>
      </c>
      <c r="I151" s="3" t="s">
        <v>19</v>
      </c>
      <c r="J151" s="4" t="s">
        <v>20</v>
      </c>
      <c r="K151" s="3" t="n">
        <v>13278</v>
      </c>
      <c r="L151" s="3" t="s">
        <v>21</v>
      </c>
      <c r="M151" s="3"/>
      <c r="N151" s="3" t="s">
        <v>128</v>
      </c>
    </row>
    <row r="152" customFormat="false" ht="15" hidden="false" customHeight="false" outlineLevel="0" collapsed="false">
      <c r="A152" s="2" t="n">
        <v>46044</v>
      </c>
      <c r="B152" s="3" t="n">
        <v>2026</v>
      </c>
      <c r="C152" s="3" t="n">
        <v>4</v>
      </c>
      <c r="D152" s="3" t="s">
        <v>273</v>
      </c>
      <c r="E152" s="3" t="s">
        <v>24</v>
      </c>
      <c r="F152" s="3" t="s">
        <v>182</v>
      </c>
      <c r="G152" s="3" t="s">
        <v>126</v>
      </c>
      <c r="H152" s="3" t="s">
        <v>127</v>
      </c>
      <c r="I152" s="3" t="s">
        <v>19</v>
      </c>
      <c r="J152" s="4" t="s">
        <v>20</v>
      </c>
      <c r="K152" s="3" t="n">
        <v>14372</v>
      </c>
      <c r="L152" s="3" t="s">
        <v>21</v>
      </c>
      <c r="M152" s="3"/>
      <c r="N152" s="3" t="s">
        <v>128</v>
      </c>
    </row>
    <row r="153" customFormat="false" ht="15" hidden="false" customHeight="false" outlineLevel="0" collapsed="false">
      <c r="A153" s="2" t="n">
        <v>46045</v>
      </c>
      <c r="B153" s="3" t="n">
        <v>2026</v>
      </c>
      <c r="C153" s="3" t="n">
        <v>4</v>
      </c>
      <c r="D153" s="3" t="s">
        <v>273</v>
      </c>
      <c r="E153" s="3" t="s">
        <v>57</v>
      </c>
      <c r="F153" s="3" t="s">
        <v>274</v>
      </c>
      <c r="G153" s="3" t="s">
        <v>86</v>
      </c>
      <c r="H153" s="3" t="s">
        <v>127</v>
      </c>
      <c r="I153" s="3" t="s">
        <v>127</v>
      </c>
      <c r="J153" s="5" t="s">
        <v>28</v>
      </c>
      <c r="K153" s="3"/>
      <c r="L153" s="3" t="s">
        <v>21</v>
      </c>
      <c r="M153" s="3"/>
      <c r="N153" s="3" t="s">
        <v>223</v>
      </c>
    </row>
    <row r="154" customFormat="false" ht="15" hidden="false" customHeight="false" outlineLevel="0" collapsed="false">
      <c r="A154" s="2" t="n">
        <v>46046</v>
      </c>
      <c r="B154" s="3" t="n">
        <v>2026</v>
      </c>
      <c r="C154" s="3" t="n">
        <v>4</v>
      </c>
      <c r="D154" s="3" t="s">
        <v>273</v>
      </c>
      <c r="E154" s="3" t="s">
        <v>15</v>
      </c>
      <c r="F154" s="3" t="s">
        <v>147</v>
      </c>
      <c r="G154" s="3" t="s">
        <v>126</v>
      </c>
      <c r="H154" s="3" t="s">
        <v>127</v>
      </c>
      <c r="I154" s="3" t="s">
        <v>19</v>
      </c>
      <c r="J154" s="4" t="s">
        <v>20</v>
      </c>
      <c r="K154" s="3" t="n">
        <v>16852</v>
      </c>
      <c r="L154" s="3" t="s">
        <v>21</v>
      </c>
      <c r="M154" s="3"/>
      <c r="N154" s="3" t="s">
        <v>128</v>
      </c>
    </row>
    <row r="155" customFormat="false" ht="15" hidden="false" customHeight="false" outlineLevel="0" collapsed="false">
      <c r="A155" s="2" t="n">
        <v>46046</v>
      </c>
      <c r="B155" s="3" t="n">
        <v>2026</v>
      </c>
      <c r="C155" s="3" t="n">
        <v>4</v>
      </c>
      <c r="D155" s="3" t="s">
        <v>273</v>
      </c>
      <c r="E155" s="3" t="s">
        <v>15</v>
      </c>
      <c r="F155" s="3" t="s">
        <v>275</v>
      </c>
      <c r="G155" s="3" t="s">
        <v>86</v>
      </c>
      <c r="H155" s="3" t="s">
        <v>87</v>
      </c>
      <c r="I155" s="3" t="s">
        <v>87</v>
      </c>
      <c r="J155" s="5" t="s">
        <v>28</v>
      </c>
      <c r="K155" s="3"/>
      <c r="L155" s="3" t="s">
        <v>21</v>
      </c>
      <c r="M155" s="3"/>
      <c r="N155" s="3" t="s">
        <v>276</v>
      </c>
    </row>
    <row r="156" customFormat="false" ht="15" hidden="false" customHeight="false" outlineLevel="0" collapsed="false">
      <c r="A156" s="2" t="n">
        <v>46050</v>
      </c>
      <c r="B156" s="3" t="n">
        <v>2026</v>
      </c>
      <c r="C156" s="3" t="n">
        <v>5</v>
      </c>
      <c r="D156" s="3" t="s">
        <v>277</v>
      </c>
      <c r="E156" s="3" t="s">
        <v>63</v>
      </c>
      <c r="F156" s="3" t="s">
        <v>158</v>
      </c>
      <c r="G156" s="3" t="s">
        <v>126</v>
      </c>
      <c r="H156" s="3" t="s">
        <v>127</v>
      </c>
      <c r="I156" s="3" t="s">
        <v>19</v>
      </c>
      <c r="J156" s="4" t="s">
        <v>20</v>
      </c>
      <c r="K156" s="3" t="n">
        <v>15244</v>
      </c>
      <c r="L156" s="3" t="s">
        <v>21</v>
      </c>
      <c r="M156" s="3"/>
      <c r="N156" s="3" t="s">
        <v>128</v>
      </c>
    </row>
    <row r="157" customFormat="false" ht="15" hidden="false" customHeight="false" outlineLevel="0" collapsed="false">
      <c r="A157" s="2" t="n">
        <v>46055</v>
      </c>
      <c r="B157" s="3" t="n">
        <v>2026</v>
      </c>
      <c r="C157" s="3" t="n">
        <v>6</v>
      </c>
      <c r="D157" s="3" t="s">
        <v>278</v>
      </c>
      <c r="E157" s="3" t="s">
        <v>108</v>
      </c>
      <c r="F157" s="3" t="s">
        <v>279</v>
      </c>
      <c r="G157" s="3" t="s">
        <v>86</v>
      </c>
      <c r="H157" s="3" t="s">
        <v>127</v>
      </c>
      <c r="I157" s="3" t="s">
        <v>127</v>
      </c>
      <c r="J157" s="5" t="s">
        <v>28</v>
      </c>
      <c r="K157" s="3"/>
      <c r="L157" s="3" t="s">
        <v>21</v>
      </c>
      <c r="M157" s="3" t="s">
        <v>280</v>
      </c>
      <c r="N157" s="3" t="s">
        <v>223</v>
      </c>
    </row>
    <row r="158" customFormat="false" ht="15" hidden="false" customHeight="false" outlineLevel="0" collapsed="false">
      <c r="A158" s="2" t="n">
        <v>46057</v>
      </c>
      <c r="B158" s="3" t="n">
        <v>2026</v>
      </c>
      <c r="C158" s="3" t="n">
        <v>6</v>
      </c>
      <c r="D158" s="3" t="s">
        <v>278</v>
      </c>
      <c r="E158" s="3" t="s">
        <v>63</v>
      </c>
      <c r="F158" s="3" t="s">
        <v>178</v>
      </c>
      <c r="G158" s="3" t="s">
        <v>126</v>
      </c>
      <c r="H158" s="3" t="s">
        <v>127</v>
      </c>
      <c r="I158" s="3" t="s">
        <v>19</v>
      </c>
      <c r="J158" s="4" t="s">
        <v>20</v>
      </c>
      <c r="K158" s="3" t="n">
        <v>18575</v>
      </c>
      <c r="L158" s="3" t="s">
        <v>21</v>
      </c>
      <c r="M158" s="3"/>
      <c r="N158" s="3" t="s">
        <v>128</v>
      </c>
    </row>
    <row r="159" customFormat="false" ht="15" hidden="false" customHeight="false" outlineLevel="0" collapsed="false">
      <c r="A159" s="2" t="n">
        <v>46060</v>
      </c>
      <c r="B159" s="3" t="n">
        <v>2026</v>
      </c>
      <c r="C159" s="3" t="n">
        <v>6</v>
      </c>
      <c r="D159" s="3" t="s">
        <v>278</v>
      </c>
      <c r="E159" s="3" t="s">
        <v>15</v>
      </c>
      <c r="F159" s="3" t="s">
        <v>281</v>
      </c>
      <c r="G159" s="3" t="s">
        <v>86</v>
      </c>
      <c r="H159" s="3" t="s">
        <v>87</v>
      </c>
      <c r="I159" s="3" t="s">
        <v>87</v>
      </c>
      <c r="J159" s="5" t="s">
        <v>28</v>
      </c>
      <c r="K159" s="3"/>
      <c r="L159" s="3" t="s">
        <v>21</v>
      </c>
      <c r="M159" s="3"/>
      <c r="N159" s="3" t="s">
        <v>223</v>
      </c>
    </row>
    <row r="160" customFormat="false" ht="15" hidden="false" customHeight="false" outlineLevel="0" collapsed="false">
      <c r="A160" s="2" t="n">
        <v>46072</v>
      </c>
      <c r="B160" s="3" t="n">
        <v>2026</v>
      </c>
      <c r="C160" s="3" t="n">
        <v>8</v>
      </c>
      <c r="D160" s="3" t="s">
        <v>282</v>
      </c>
      <c r="E160" s="3" t="s">
        <v>24</v>
      </c>
      <c r="F160" s="3" t="s">
        <v>283</v>
      </c>
      <c r="G160" s="3" t="s">
        <v>86</v>
      </c>
      <c r="H160" s="3" t="s">
        <v>87</v>
      </c>
      <c r="I160" s="3" t="s">
        <v>87</v>
      </c>
      <c r="J160" s="5" t="s">
        <v>28</v>
      </c>
      <c r="K160" s="3"/>
      <c r="L160" s="3" t="s">
        <v>21</v>
      </c>
      <c r="M160" s="3"/>
      <c r="N160" s="3" t="s">
        <v>223</v>
      </c>
    </row>
    <row r="161" customFormat="false" ht="15" hidden="false" customHeight="false" outlineLevel="0" collapsed="false">
      <c r="A161" s="2" t="n">
        <v>46073</v>
      </c>
      <c r="B161" s="3" t="n">
        <v>2026</v>
      </c>
      <c r="C161" s="3" t="n">
        <v>8</v>
      </c>
      <c r="D161" s="3" t="s">
        <v>282</v>
      </c>
      <c r="E161" s="3" t="s">
        <v>57</v>
      </c>
      <c r="F161" s="3" t="s">
        <v>284</v>
      </c>
      <c r="G161" s="3" t="s">
        <v>86</v>
      </c>
      <c r="H161" s="3" t="s">
        <v>87</v>
      </c>
      <c r="I161" s="3" t="s">
        <v>87</v>
      </c>
      <c r="J161" s="5" t="s">
        <v>28</v>
      </c>
      <c r="K161" s="3"/>
      <c r="L161" s="3" t="s">
        <v>21</v>
      </c>
      <c r="M161" s="3" t="s">
        <v>285</v>
      </c>
      <c r="N161" s="3" t="s">
        <v>223</v>
      </c>
    </row>
    <row r="162" customFormat="false" ht="15" hidden="false" customHeight="false" outlineLevel="0" collapsed="false">
      <c r="A162" s="2" t="n">
        <v>46074</v>
      </c>
      <c r="B162" s="3" t="n">
        <v>2026</v>
      </c>
      <c r="C162" s="3" t="n">
        <v>8</v>
      </c>
      <c r="D162" s="3" t="s">
        <v>282</v>
      </c>
      <c r="E162" s="3" t="s">
        <v>15</v>
      </c>
      <c r="F162" s="3" t="s">
        <v>286</v>
      </c>
      <c r="G162" s="3" t="s">
        <v>86</v>
      </c>
      <c r="H162" s="3" t="s">
        <v>87</v>
      </c>
      <c r="I162" s="3" t="s">
        <v>87</v>
      </c>
      <c r="J162" s="5" t="s">
        <v>28</v>
      </c>
      <c r="K162" s="3"/>
      <c r="L162" s="3" t="s">
        <v>21</v>
      </c>
      <c r="M162" s="3"/>
      <c r="N162" s="3" t="s">
        <v>223</v>
      </c>
    </row>
    <row r="163" customFormat="false" ht="15" hidden="false" customHeight="false" outlineLevel="0" collapsed="false">
      <c r="A163" s="2" t="n">
        <v>46081</v>
      </c>
      <c r="B163" s="3" t="n">
        <v>2026</v>
      </c>
      <c r="C163" s="3" t="n">
        <v>9</v>
      </c>
      <c r="D163" s="3" t="s">
        <v>287</v>
      </c>
      <c r="E163" s="3" t="s">
        <v>15</v>
      </c>
      <c r="F163" s="3" t="s">
        <v>140</v>
      </c>
      <c r="G163" s="3" t="s">
        <v>126</v>
      </c>
      <c r="H163" s="3" t="s">
        <v>127</v>
      </c>
      <c r="I163" s="3" t="s">
        <v>19</v>
      </c>
      <c r="J163" s="4" t="s">
        <v>20</v>
      </c>
      <c r="K163" s="3" t="n">
        <v>18925</v>
      </c>
      <c r="L163" s="3" t="s">
        <v>21</v>
      </c>
      <c r="M163" s="3"/>
      <c r="N163" s="3" t="s">
        <v>128</v>
      </c>
    </row>
    <row r="164" customFormat="false" ht="15" hidden="false" customHeight="false" outlineLevel="0" collapsed="false">
      <c r="A164" s="2" t="n">
        <v>46084</v>
      </c>
      <c r="B164" s="3" t="n">
        <v>2026</v>
      </c>
      <c r="C164" s="3" t="n">
        <v>10</v>
      </c>
      <c r="D164" s="3" t="s">
        <v>288</v>
      </c>
      <c r="E164" s="3" t="s">
        <v>35</v>
      </c>
      <c r="F164" s="3" t="s">
        <v>197</v>
      </c>
      <c r="G164" s="3" t="s">
        <v>126</v>
      </c>
      <c r="H164" s="3" t="s">
        <v>127</v>
      </c>
      <c r="I164" s="3" t="s">
        <v>19</v>
      </c>
      <c r="J164" s="4" t="s">
        <v>20</v>
      </c>
      <c r="K164" s="3" t="n">
        <v>16526</v>
      </c>
      <c r="L164" s="3" t="s">
        <v>21</v>
      </c>
      <c r="M164" s="3"/>
      <c r="N164" s="3" t="s">
        <v>128</v>
      </c>
    </row>
    <row r="165" customFormat="false" ht="15" hidden="false" customHeight="false" outlineLevel="0" collapsed="false">
      <c r="A165" s="2" t="n">
        <v>46086</v>
      </c>
      <c r="B165" s="3" t="n">
        <v>2026</v>
      </c>
      <c r="C165" s="3" t="n">
        <v>10</v>
      </c>
      <c r="D165" s="3" t="s">
        <v>288</v>
      </c>
      <c r="E165" s="3" t="s">
        <v>24</v>
      </c>
      <c r="F165" s="3" t="s">
        <v>125</v>
      </c>
      <c r="G165" s="3" t="s">
        <v>126</v>
      </c>
      <c r="H165" s="3" t="s">
        <v>127</v>
      </c>
      <c r="I165" s="3" t="s">
        <v>19</v>
      </c>
      <c r="J165" s="4" t="s">
        <v>20</v>
      </c>
      <c r="K165" s="3" t="n">
        <v>16669</v>
      </c>
      <c r="L165" s="3" t="s">
        <v>21</v>
      </c>
      <c r="M165" s="3"/>
      <c r="N165" s="3" t="s">
        <v>128</v>
      </c>
    </row>
    <row r="166" customFormat="false" ht="15" hidden="false" customHeight="false" outlineLevel="0" collapsed="false">
      <c r="A166" s="2" t="n">
        <v>46086</v>
      </c>
      <c r="B166" s="3" t="n">
        <v>2026</v>
      </c>
      <c r="C166" s="3" t="n">
        <v>10</v>
      </c>
      <c r="D166" s="3" t="s">
        <v>288</v>
      </c>
      <c r="E166" s="3" t="s">
        <v>24</v>
      </c>
      <c r="F166" s="3" t="s">
        <v>289</v>
      </c>
      <c r="G166" s="3" t="s">
        <v>26</v>
      </c>
      <c r="H166" s="3" t="s">
        <v>27</v>
      </c>
      <c r="I166" s="3" t="s">
        <v>27</v>
      </c>
      <c r="J166" s="5" t="s">
        <v>28</v>
      </c>
      <c r="K166" s="3" t="n">
        <v>200000</v>
      </c>
      <c r="L166" s="3" t="s">
        <v>21</v>
      </c>
      <c r="M166" s="3"/>
      <c r="N166" s="3" t="s">
        <v>223</v>
      </c>
    </row>
    <row r="167" customFormat="false" ht="15" hidden="false" customHeight="false" outlineLevel="0" collapsed="false">
      <c r="A167" s="2" t="n">
        <v>46087</v>
      </c>
      <c r="B167" s="3" t="n">
        <v>2026</v>
      </c>
      <c r="C167" s="3" t="n">
        <v>10</v>
      </c>
      <c r="D167" s="3" t="s">
        <v>288</v>
      </c>
      <c r="E167" s="3" t="s">
        <v>57</v>
      </c>
      <c r="F167" s="3" t="s">
        <v>290</v>
      </c>
      <c r="G167" s="3" t="s">
        <v>86</v>
      </c>
      <c r="H167" s="3" t="s">
        <v>127</v>
      </c>
      <c r="I167" s="3" t="s">
        <v>127</v>
      </c>
      <c r="J167" s="5" t="s">
        <v>28</v>
      </c>
      <c r="K167" s="3"/>
      <c r="L167" s="7" t="s">
        <v>291</v>
      </c>
      <c r="M167" s="3" t="s">
        <v>292</v>
      </c>
      <c r="N167" s="3" t="s">
        <v>223</v>
      </c>
    </row>
    <row r="168" customFormat="false" ht="15" hidden="false" customHeight="false" outlineLevel="0" collapsed="false">
      <c r="A168" s="2" t="n">
        <v>46088</v>
      </c>
      <c r="B168" s="3" t="n">
        <v>2026</v>
      </c>
      <c r="C168" s="3" t="n">
        <v>10</v>
      </c>
      <c r="D168" s="3" t="s">
        <v>288</v>
      </c>
      <c r="E168" s="3" t="s">
        <v>15</v>
      </c>
      <c r="F168" s="3" t="s">
        <v>293</v>
      </c>
      <c r="G168" s="3" t="s">
        <v>126</v>
      </c>
      <c r="H168" s="3" t="s">
        <v>127</v>
      </c>
      <c r="I168" s="3" t="s">
        <v>19</v>
      </c>
      <c r="J168" s="4" t="s">
        <v>20</v>
      </c>
      <c r="K168" s="3" t="n">
        <v>18668</v>
      </c>
      <c r="L168" s="3" t="s">
        <v>21</v>
      </c>
      <c r="M168" s="3"/>
      <c r="N168" s="3" t="s">
        <v>128</v>
      </c>
    </row>
    <row r="169" customFormat="false" ht="15" hidden="false" customHeight="false" outlineLevel="0" collapsed="false">
      <c r="A169" s="2" t="n">
        <v>46088</v>
      </c>
      <c r="B169" s="3" t="n">
        <v>2026</v>
      </c>
      <c r="C169" s="3" t="n">
        <v>10</v>
      </c>
      <c r="D169" s="3" t="s">
        <v>288</v>
      </c>
      <c r="E169" s="3" t="s">
        <v>15</v>
      </c>
      <c r="F169" s="3" t="s">
        <v>294</v>
      </c>
      <c r="G169" s="3" t="s">
        <v>17</v>
      </c>
      <c r="H169" s="3" t="s">
        <v>179</v>
      </c>
      <c r="I169" s="3" t="s">
        <v>19</v>
      </c>
      <c r="J169" s="4" t="s">
        <v>20</v>
      </c>
      <c r="K169" s="3" t="n">
        <v>20121</v>
      </c>
      <c r="L169" s="3" t="s">
        <v>21</v>
      </c>
      <c r="M169" s="3"/>
      <c r="N169" s="3" t="s">
        <v>295</v>
      </c>
    </row>
    <row r="170" customFormat="false" ht="15" hidden="false" customHeight="false" outlineLevel="0" collapsed="false">
      <c r="A170" s="2" t="n">
        <v>46089</v>
      </c>
      <c r="B170" s="3" t="n">
        <v>2026</v>
      </c>
      <c r="C170" s="3" t="n">
        <v>10</v>
      </c>
      <c r="D170" s="3" t="s">
        <v>288</v>
      </c>
      <c r="E170" s="3" t="s">
        <v>131</v>
      </c>
      <c r="F170" s="3" t="s">
        <v>296</v>
      </c>
      <c r="G170" s="3" t="s">
        <v>86</v>
      </c>
      <c r="H170" s="3" t="s">
        <v>127</v>
      </c>
      <c r="I170" s="3" t="s">
        <v>127</v>
      </c>
      <c r="J170" s="5" t="s">
        <v>28</v>
      </c>
      <c r="K170" s="3"/>
      <c r="L170" s="3" t="s">
        <v>21</v>
      </c>
      <c r="M170" s="3"/>
      <c r="N170" s="3" t="s">
        <v>223</v>
      </c>
    </row>
    <row r="171" customFormat="false" ht="15" hidden="false" customHeight="false" outlineLevel="0" collapsed="false">
      <c r="A171" s="2" t="n">
        <v>46090</v>
      </c>
      <c r="B171" s="3" t="n">
        <v>2026</v>
      </c>
      <c r="C171" s="3" t="n">
        <v>11</v>
      </c>
      <c r="D171" s="3" t="s">
        <v>297</v>
      </c>
      <c r="E171" s="3" t="s">
        <v>108</v>
      </c>
      <c r="F171" s="3" t="s">
        <v>173</v>
      </c>
      <c r="G171" s="3" t="s">
        <v>126</v>
      </c>
      <c r="H171" s="3" t="s">
        <v>127</v>
      </c>
      <c r="I171" s="3" t="s">
        <v>19</v>
      </c>
      <c r="J171" s="4" t="s">
        <v>20</v>
      </c>
      <c r="K171" s="3" t="n">
        <v>14838</v>
      </c>
      <c r="L171" s="3" t="s">
        <v>21</v>
      </c>
      <c r="M171" s="3"/>
      <c r="N171" s="3" t="s">
        <v>128</v>
      </c>
    </row>
    <row r="172" customFormat="false" ht="15" hidden="false" customHeight="false" outlineLevel="0" collapsed="false">
      <c r="A172" s="2" t="n">
        <v>46095</v>
      </c>
      <c r="B172" s="3" t="n">
        <v>2026</v>
      </c>
      <c r="C172" s="3" t="n">
        <v>11</v>
      </c>
      <c r="D172" s="3" t="s">
        <v>297</v>
      </c>
      <c r="E172" s="3" t="s">
        <v>15</v>
      </c>
      <c r="F172" s="3" t="s">
        <v>75</v>
      </c>
      <c r="G172" s="3" t="s">
        <v>17</v>
      </c>
      <c r="H172" s="3" t="s">
        <v>179</v>
      </c>
      <c r="I172" s="3" t="s">
        <v>19</v>
      </c>
      <c r="J172" s="4" t="s">
        <v>20</v>
      </c>
      <c r="K172" s="3" t="n">
        <v>19960</v>
      </c>
      <c r="L172" s="3" t="s">
        <v>21</v>
      </c>
      <c r="M172" s="3"/>
      <c r="N172" s="3" t="s">
        <v>295</v>
      </c>
    </row>
    <row r="173" customFormat="false" ht="15" hidden="false" customHeight="false" outlineLevel="0" collapsed="false">
      <c r="A173" s="2" t="n">
        <v>46097</v>
      </c>
      <c r="B173" s="3" t="n">
        <v>2026</v>
      </c>
      <c r="C173" s="3" t="n">
        <v>12</v>
      </c>
      <c r="D173" s="3" t="s">
        <v>298</v>
      </c>
      <c r="E173" s="3" t="s">
        <v>108</v>
      </c>
      <c r="F173" s="3" t="s">
        <v>299</v>
      </c>
      <c r="G173" s="3" t="s">
        <v>86</v>
      </c>
      <c r="H173" s="3" t="s">
        <v>127</v>
      </c>
      <c r="I173" s="3" t="s">
        <v>127</v>
      </c>
      <c r="J173" s="5" t="s">
        <v>28</v>
      </c>
      <c r="K173" s="3"/>
      <c r="L173" s="3" t="s">
        <v>21</v>
      </c>
      <c r="M173" s="3" t="s">
        <v>300</v>
      </c>
      <c r="N173" s="3" t="s">
        <v>223</v>
      </c>
    </row>
    <row r="174" customFormat="false" ht="15" hidden="false" customHeight="false" outlineLevel="0" collapsed="false">
      <c r="A174" s="2" t="n">
        <v>46098</v>
      </c>
      <c r="B174" s="3" t="n">
        <v>2026</v>
      </c>
      <c r="C174" s="3" t="n">
        <v>12</v>
      </c>
      <c r="D174" s="3" t="s">
        <v>298</v>
      </c>
      <c r="E174" s="3" t="s">
        <v>35</v>
      </c>
      <c r="F174" s="3" t="s">
        <v>149</v>
      </c>
      <c r="G174" s="3" t="s">
        <v>126</v>
      </c>
      <c r="H174" s="3" t="s">
        <v>127</v>
      </c>
      <c r="I174" s="3" t="s">
        <v>19</v>
      </c>
      <c r="J174" s="4" t="s">
        <v>20</v>
      </c>
      <c r="K174" s="3" t="n">
        <v>16156</v>
      </c>
      <c r="L174" s="3" t="s">
        <v>21</v>
      </c>
      <c r="M174" s="3"/>
      <c r="N174" s="3" t="s">
        <v>128</v>
      </c>
    </row>
    <row r="175" customFormat="false" ht="15" hidden="false" customHeight="false" outlineLevel="0" collapsed="false">
      <c r="A175" s="2" t="n">
        <v>46100</v>
      </c>
      <c r="B175" s="3" t="n">
        <v>2026</v>
      </c>
      <c r="C175" s="3" t="n">
        <v>12</v>
      </c>
      <c r="D175" s="3" t="s">
        <v>298</v>
      </c>
      <c r="E175" s="3" t="s">
        <v>24</v>
      </c>
      <c r="F175" s="3" t="s">
        <v>176</v>
      </c>
      <c r="G175" s="3" t="s">
        <v>126</v>
      </c>
      <c r="H175" s="3" t="s">
        <v>127</v>
      </c>
      <c r="I175" s="3" t="s">
        <v>19</v>
      </c>
      <c r="J175" s="4" t="s">
        <v>20</v>
      </c>
      <c r="K175" s="3" t="n">
        <v>15829</v>
      </c>
      <c r="L175" s="3" t="s">
        <v>21</v>
      </c>
      <c r="M175" s="3"/>
      <c r="N175" s="3" t="s">
        <v>128</v>
      </c>
    </row>
    <row r="176" customFormat="false" ht="15" hidden="false" customHeight="false" outlineLevel="0" collapsed="false">
      <c r="A176" s="2" t="n">
        <v>46102</v>
      </c>
      <c r="B176" s="3" t="n">
        <v>2026</v>
      </c>
      <c r="C176" s="3" t="n">
        <v>12</v>
      </c>
      <c r="D176" s="3" t="s">
        <v>298</v>
      </c>
      <c r="E176" s="3" t="s">
        <v>15</v>
      </c>
      <c r="F176" s="3" t="s">
        <v>169</v>
      </c>
      <c r="G176" s="3" t="s">
        <v>126</v>
      </c>
      <c r="H176" s="3" t="s">
        <v>127</v>
      </c>
      <c r="I176" s="3" t="s">
        <v>19</v>
      </c>
      <c r="J176" s="4" t="s">
        <v>20</v>
      </c>
      <c r="K176" s="3" t="n">
        <v>18864</v>
      </c>
      <c r="L176" s="3" t="s">
        <v>21</v>
      </c>
      <c r="M176" s="3"/>
      <c r="N176" s="3" t="s">
        <v>128</v>
      </c>
    </row>
    <row r="177" customFormat="false" ht="15" hidden="false" customHeight="false" outlineLevel="0" collapsed="false">
      <c r="A177" s="2" t="n">
        <v>46109</v>
      </c>
      <c r="B177" s="3" t="n">
        <v>2026</v>
      </c>
      <c r="C177" s="3" t="n">
        <v>13</v>
      </c>
      <c r="D177" s="3" t="s">
        <v>301</v>
      </c>
      <c r="E177" s="3" t="s">
        <v>15</v>
      </c>
      <c r="F177" s="3" t="s">
        <v>171</v>
      </c>
      <c r="G177" s="3" t="s">
        <v>126</v>
      </c>
      <c r="H177" s="3" t="s">
        <v>127</v>
      </c>
      <c r="I177" s="3" t="s">
        <v>19</v>
      </c>
      <c r="J177" s="4" t="s">
        <v>20</v>
      </c>
      <c r="K177" s="3" t="n">
        <v>18874</v>
      </c>
      <c r="L177" s="3" t="s">
        <v>21</v>
      </c>
      <c r="M177" s="3"/>
      <c r="N177" s="3" t="s">
        <v>128</v>
      </c>
    </row>
    <row r="178" customFormat="false" ht="15" hidden="false" customHeight="false" outlineLevel="0" collapsed="false">
      <c r="A178" s="2" t="n">
        <v>46110</v>
      </c>
      <c r="B178" s="3" t="n">
        <v>2026</v>
      </c>
      <c r="C178" s="3" t="n">
        <v>13</v>
      </c>
      <c r="D178" s="3" t="s">
        <v>301</v>
      </c>
      <c r="E178" s="3" t="s">
        <v>131</v>
      </c>
      <c r="F178" s="3" t="s">
        <v>164</v>
      </c>
      <c r="G178" s="3" t="s">
        <v>126</v>
      </c>
      <c r="H178" s="3" t="s">
        <v>127</v>
      </c>
      <c r="I178" s="3" t="s">
        <v>19</v>
      </c>
      <c r="J178" s="4" t="s">
        <v>20</v>
      </c>
      <c r="K178" s="3" t="n">
        <v>18684</v>
      </c>
      <c r="L178" s="3" t="s">
        <v>21</v>
      </c>
      <c r="M178" s="3"/>
      <c r="N178" s="3" t="s">
        <v>128</v>
      </c>
    </row>
    <row r="179" customFormat="false" ht="15" hidden="false" customHeight="false" outlineLevel="0" collapsed="false">
      <c r="A179" s="2" t="n">
        <v>46112</v>
      </c>
      <c r="B179" s="3" t="n">
        <v>2026</v>
      </c>
      <c r="C179" s="3" t="n">
        <v>14</v>
      </c>
      <c r="D179" s="3" t="s">
        <v>302</v>
      </c>
      <c r="E179" s="3" t="s">
        <v>35</v>
      </c>
      <c r="F179" s="3" t="s">
        <v>149</v>
      </c>
      <c r="G179" s="3" t="s">
        <v>126</v>
      </c>
      <c r="H179" s="3" t="s">
        <v>127</v>
      </c>
      <c r="I179" s="3" t="s">
        <v>19</v>
      </c>
      <c r="J179" s="4" t="s">
        <v>20</v>
      </c>
      <c r="K179" s="3" t="n">
        <v>18293</v>
      </c>
      <c r="L179" s="3" t="s">
        <v>21</v>
      </c>
      <c r="M179" s="3"/>
      <c r="N179" s="3" t="s">
        <v>128</v>
      </c>
    </row>
    <row r="180" customFormat="false" ht="15" hidden="false" customHeight="false" outlineLevel="0" collapsed="false">
      <c r="A180" s="2" t="n">
        <v>46112</v>
      </c>
      <c r="B180" s="3" t="n">
        <v>2026</v>
      </c>
      <c r="C180" s="3" t="n">
        <v>14</v>
      </c>
      <c r="D180" s="3" t="s">
        <v>302</v>
      </c>
      <c r="E180" s="3" t="s">
        <v>35</v>
      </c>
      <c r="F180" s="3" t="s">
        <v>98</v>
      </c>
      <c r="G180" s="3" t="s">
        <v>37</v>
      </c>
      <c r="H180" s="3" t="s">
        <v>38</v>
      </c>
      <c r="I180" s="3" t="s">
        <v>19</v>
      </c>
      <c r="J180" s="4" t="s">
        <v>20</v>
      </c>
      <c r="K180" s="3"/>
      <c r="L180" s="3" t="s">
        <v>21</v>
      </c>
      <c r="M180" s="3" t="s">
        <v>39</v>
      </c>
      <c r="N180" s="3" t="s">
        <v>40</v>
      </c>
    </row>
    <row r="181" customFormat="false" ht="15" hidden="false" customHeight="false" outlineLevel="0" collapsed="false">
      <c r="A181" s="2" t="n">
        <v>46116</v>
      </c>
      <c r="B181" s="3" t="n">
        <v>2026</v>
      </c>
      <c r="C181" s="3" t="n">
        <v>14</v>
      </c>
      <c r="D181" s="3" t="s">
        <v>302</v>
      </c>
      <c r="E181" s="3" t="s">
        <v>15</v>
      </c>
      <c r="F181" s="3" t="s">
        <v>141</v>
      </c>
      <c r="G181" s="3" t="s">
        <v>126</v>
      </c>
      <c r="H181" s="3" t="s">
        <v>127</v>
      </c>
      <c r="I181" s="3" t="s">
        <v>19</v>
      </c>
      <c r="J181" s="4" t="s">
        <v>20</v>
      </c>
      <c r="K181" s="3" t="n">
        <v>18272</v>
      </c>
      <c r="L181" s="3" t="s">
        <v>21</v>
      </c>
      <c r="M181" s="3"/>
      <c r="N181" s="3" t="s">
        <v>128</v>
      </c>
    </row>
    <row r="182" customFormat="false" ht="15" hidden="false" customHeight="false" outlineLevel="0" collapsed="false">
      <c r="A182" s="2" t="n">
        <v>46124</v>
      </c>
      <c r="B182" s="3" t="n">
        <v>2026</v>
      </c>
      <c r="C182" s="3" t="n">
        <v>15</v>
      </c>
      <c r="D182" s="3" t="s">
        <v>303</v>
      </c>
      <c r="E182" s="3" t="s">
        <v>131</v>
      </c>
      <c r="F182" s="3" t="s">
        <v>164</v>
      </c>
      <c r="G182" s="3" t="s">
        <v>126</v>
      </c>
      <c r="H182" s="3" t="s">
        <v>127</v>
      </c>
      <c r="I182" s="3" t="s">
        <v>19</v>
      </c>
      <c r="J182" s="4" t="s">
        <v>20</v>
      </c>
      <c r="K182" s="3" t="n">
        <v>18532</v>
      </c>
      <c r="L182" s="3" t="s">
        <v>21</v>
      </c>
      <c r="M182" s="3"/>
      <c r="N182" s="3" t="s">
        <v>128</v>
      </c>
    </row>
    <row r="183" customFormat="false" ht="15" hidden="false" customHeight="false" outlineLevel="0" collapsed="false">
      <c r="A183" s="2" t="n">
        <v>46124</v>
      </c>
      <c r="B183" s="3" t="n">
        <v>2026</v>
      </c>
      <c r="C183" s="3" t="n">
        <v>15</v>
      </c>
      <c r="D183" s="3" t="s">
        <v>303</v>
      </c>
      <c r="E183" s="3" t="s">
        <v>131</v>
      </c>
      <c r="F183" s="3" t="s">
        <v>117</v>
      </c>
      <c r="G183" s="3" t="s">
        <v>17</v>
      </c>
      <c r="H183" s="3" t="s">
        <v>179</v>
      </c>
      <c r="I183" s="3" t="s">
        <v>19</v>
      </c>
      <c r="J183" s="4" t="s">
        <v>20</v>
      </c>
      <c r="K183" s="3" t="n">
        <v>19834</v>
      </c>
      <c r="L183" s="3" t="s">
        <v>21</v>
      </c>
      <c r="M183" s="3"/>
      <c r="N183" s="3" t="s">
        <v>295</v>
      </c>
    </row>
    <row r="184" customFormat="false" ht="15" hidden="false" customHeight="false" outlineLevel="0" collapsed="false">
      <c r="A184" s="2" t="n">
        <v>46126</v>
      </c>
      <c r="B184" s="3" t="n">
        <v>2026</v>
      </c>
      <c r="C184" s="3" t="n">
        <v>16</v>
      </c>
      <c r="D184" s="3" t="s">
        <v>304</v>
      </c>
      <c r="E184" s="3" t="s">
        <v>35</v>
      </c>
      <c r="F184" s="3" t="s">
        <v>159</v>
      </c>
      <c r="G184" s="3" t="s">
        <v>126</v>
      </c>
      <c r="H184" s="3" t="s">
        <v>127</v>
      </c>
      <c r="I184" s="3" t="s">
        <v>19</v>
      </c>
      <c r="J184" s="4" t="s">
        <v>20</v>
      </c>
      <c r="K184" s="3" t="n">
        <v>18244</v>
      </c>
      <c r="L184" s="3" t="s">
        <v>21</v>
      </c>
      <c r="M184" s="3"/>
      <c r="N184" s="3" t="s">
        <v>128</v>
      </c>
    </row>
    <row r="185" customFormat="false" ht="15" hidden="false" customHeight="false" outlineLevel="0" collapsed="false">
      <c r="A185" s="2" t="n">
        <v>46126</v>
      </c>
      <c r="B185" s="3" t="n">
        <v>2026</v>
      </c>
      <c r="C185" s="3" t="n">
        <v>16</v>
      </c>
      <c r="D185" s="3" t="s">
        <v>304</v>
      </c>
      <c r="E185" s="3" t="s">
        <v>35</v>
      </c>
      <c r="F185" s="3" t="s">
        <v>56</v>
      </c>
      <c r="G185" s="3" t="s">
        <v>37</v>
      </c>
      <c r="H185" s="3" t="s">
        <v>38</v>
      </c>
      <c r="I185" s="3" t="s">
        <v>19</v>
      </c>
      <c r="J185" s="4" t="s">
        <v>20</v>
      </c>
      <c r="K185" s="3"/>
      <c r="L185" s="3" t="s">
        <v>21</v>
      </c>
      <c r="M185" s="3" t="s">
        <v>39</v>
      </c>
      <c r="N185" s="3" t="s">
        <v>40</v>
      </c>
    </row>
    <row r="186" customFormat="false" ht="15" hidden="false" customHeight="false" outlineLevel="0" collapsed="false">
      <c r="A186" s="2" t="n">
        <v>46129</v>
      </c>
      <c r="B186" s="3" t="n">
        <v>2026</v>
      </c>
      <c r="C186" s="3" t="n">
        <v>16</v>
      </c>
      <c r="D186" s="3" t="s">
        <v>304</v>
      </c>
      <c r="E186" s="3" t="s">
        <v>57</v>
      </c>
      <c r="F186" s="3" t="s">
        <v>305</v>
      </c>
      <c r="G186" s="3" t="s">
        <v>86</v>
      </c>
      <c r="H186" s="3" t="s">
        <v>87</v>
      </c>
      <c r="I186" s="3" t="s">
        <v>87</v>
      </c>
      <c r="J186" s="5" t="s">
        <v>28</v>
      </c>
      <c r="K186" s="3"/>
      <c r="L186" s="3" t="s">
        <v>21</v>
      </c>
      <c r="M186" s="3"/>
      <c r="N186" s="3" t="s">
        <v>223</v>
      </c>
    </row>
    <row r="187" customFormat="false" ht="15" hidden="false" customHeight="false" outlineLevel="0" collapsed="false">
      <c r="A187" s="2" t="n">
        <v>46134</v>
      </c>
      <c r="B187" s="3" t="n">
        <v>2026</v>
      </c>
      <c r="C187" s="3" t="n">
        <v>17</v>
      </c>
      <c r="D187" s="3" t="s">
        <v>306</v>
      </c>
      <c r="E187" s="3" t="s">
        <v>63</v>
      </c>
      <c r="F187" s="3" t="s">
        <v>307</v>
      </c>
      <c r="G187" s="3" t="s">
        <v>17</v>
      </c>
      <c r="H187" s="3" t="s">
        <v>179</v>
      </c>
      <c r="I187" s="3" t="s">
        <v>19</v>
      </c>
      <c r="J187" s="4" t="s">
        <v>20</v>
      </c>
      <c r="K187" s="3" t="n">
        <v>19049</v>
      </c>
      <c r="L187" s="3" t="s">
        <v>21</v>
      </c>
      <c r="M187" s="3"/>
      <c r="N187" s="3" t="s">
        <v>295</v>
      </c>
    </row>
    <row r="188" customFormat="false" ht="15" hidden="false" customHeight="false" outlineLevel="0" collapsed="false">
      <c r="A188" s="2" t="n">
        <v>46137</v>
      </c>
      <c r="B188" s="3" t="n">
        <v>2026</v>
      </c>
      <c r="C188" s="3" t="n">
        <v>17</v>
      </c>
      <c r="D188" s="3" t="s">
        <v>306</v>
      </c>
      <c r="E188" s="3" t="s">
        <v>15</v>
      </c>
      <c r="F188" s="3" t="s">
        <v>121</v>
      </c>
      <c r="G188" s="3" t="s">
        <v>17</v>
      </c>
      <c r="H188" s="3" t="s">
        <v>179</v>
      </c>
      <c r="I188" s="3" t="s">
        <v>19</v>
      </c>
      <c r="J188" s="4" t="s">
        <v>20</v>
      </c>
      <c r="K188" s="3" t="n">
        <v>19903</v>
      </c>
      <c r="L188" s="3" t="s">
        <v>21</v>
      </c>
      <c r="M188" s="3"/>
      <c r="N188" s="3" t="s">
        <v>295</v>
      </c>
    </row>
    <row r="189" customFormat="false" ht="15" hidden="false" customHeight="false" outlineLevel="0" collapsed="false">
      <c r="A189" s="2" t="n">
        <v>46139</v>
      </c>
      <c r="B189" s="3" t="n">
        <v>2026</v>
      </c>
      <c r="C189" s="3" t="n">
        <v>18</v>
      </c>
      <c r="D189" s="3" t="s">
        <v>308</v>
      </c>
      <c r="E189" s="3" t="s">
        <v>108</v>
      </c>
      <c r="F189" s="3" t="s">
        <v>309</v>
      </c>
      <c r="G189" s="3" t="s">
        <v>86</v>
      </c>
      <c r="H189" s="3" t="s">
        <v>127</v>
      </c>
      <c r="I189" s="3" t="s">
        <v>127</v>
      </c>
      <c r="J189" s="5" t="s">
        <v>28</v>
      </c>
      <c r="K189" s="3"/>
      <c r="L189" s="3" t="s">
        <v>21</v>
      </c>
      <c r="M189" s="3"/>
      <c r="N189" s="3" t="s">
        <v>223</v>
      </c>
    </row>
    <row r="190" customFormat="false" ht="15" hidden="false" customHeight="false" outlineLevel="0" collapsed="false">
      <c r="A190" s="2" t="n">
        <v>46140</v>
      </c>
      <c r="B190" s="3" t="n">
        <v>2026</v>
      </c>
      <c r="C190" s="3" t="n">
        <v>18</v>
      </c>
      <c r="D190" s="3" t="s">
        <v>308</v>
      </c>
      <c r="E190" s="3" t="s">
        <v>35</v>
      </c>
      <c r="F190" s="3" t="s">
        <v>48</v>
      </c>
      <c r="G190" s="3" t="s">
        <v>37</v>
      </c>
      <c r="H190" s="3" t="s">
        <v>38</v>
      </c>
      <c r="I190" s="3" t="s">
        <v>19</v>
      </c>
      <c r="J190" s="4" t="s">
        <v>20</v>
      </c>
      <c r="K190" s="3"/>
      <c r="L190" s="3" t="s">
        <v>21</v>
      </c>
      <c r="M190" s="3" t="s">
        <v>39</v>
      </c>
      <c r="N190" s="3" t="s">
        <v>40</v>
      </c>
    </row>
    <row r="191" customFormat="false" ht="15" hidden="false" customHeight="false" outlineLevel="0" collapsed="false">
      <c r="A191" s="2" t="n">
        <v>46144</v>
      </c>
      <c r="B191" s="3" t="n">
        <v>2026</v>
      </c>
      <c r="C191" s="3" t="n">
        <v>18</v>
      </c>
      <c r="D191" s="3" t="s">
        <v>308</v>
      </c>
      <c r="E191" s="3" t="s">
        <v>15</v>
      </c>
      <c r="F191" s="3" t="s">
        <v>310</v>
      </c>
      <c r="G191" s="3" t="s">
        <v>17</v>
      </c>
      <c r="H191" s="3" t="s">
        <v>179</v>
      </c>
      <c r="I191" s="3" t="s">
        <v>19</v>
      </c>
      <c r="J191" s="4" t="s">
        <v>20</v>
      </c>
      <c r="K191" s="3" t="n">
        <v>18904</v>
      </c>
      <c r="L191" s="3" t="s">
        <v>21</v>
      </c>
      <c r="M191" s="3"/>
      <c r="N191" s="3" t="s">
        <v>295</v>
      </c>
    </row>
    <row r="192" customFormat="false" ht="15" hidden="false" customHeight="false" outlineLevel="0" collapsed="false">
      <c r="A192" s="2" t="n">
        <v>46161</v>
      </c>
      <c r="B192" s="3" t="n">
        <v>2026</v>
      </c>
      <c r="C192" s="3" t="n">
        <v>21</v>
      </c>
      <c r="D192" s="3" t="s">
        <v>311</v>
      </c>
      <c r="E192" s="3" t="s">
        <v>35</v>
      </c>
      <c r="F192" s="3" t="s">
        <v>52</v>
      </c>
      <c r="G192" s="3" t="s">
        <v>37</v>
      </c>
      <c r="H192" s="3" t="s">
        <v>38</v>
      </c>
      <c r="I192" s="3" t="s">
        <v>19</v>
      </c>
      <c r="J192" s="4" t="s">
        <v>20</v>
      </c>
      <c r="K192" s="3"/>
      <c r="L192" s="3" t="s">
        <v>21</v>
      </c>
      <c r="M192" s="3" t="s">
        <v>39</v>
      </c>
      <c r="N192" s="3" t="s">
        <v>40</v>
      </c>
    </row>
    <row r="193" customFormat="false" ht="15" hidden="false" customHeight="false" outlineLevel="0" collapsed="false">
      <c r="A193" s="2" t="n">
        <v>46166</v>
      </c>
      <c r="B193" s="3" t="n">
        <v>2026</v>
      </c>
      <c r="C193" s="3" t="n">
        <v>21</v>
      </c>
      <c r="D193" s="3" t="s">
        <v>311</v>
      </c>
      <c r="E193" s="3" t="s">
        <v>131</v>
      </c>
      <c r="F193" s="3" t="s">
        <v>16</v>
      </c>
      <c r="G193" s="3" t="s">
        <v>17</v>
      </c>
      <c r="H193" s="3" t="s">
        <v>179</v>
      </c>
      <c r="I193" s="3" t="s">
        <v>19</v>
      </c>
      <c r="J193" s="4" t="s">
        <v>20</v>
      </c>
      <c r="K193" s="3" t="n">
        <v>19782</v>
      </c>
      <c r="L193" s="3" t="s">
        <v>21</v>
      </c>
      <c r="M193" s="3"/>
      <c r="N193" s="3" t="s">
        <v>295</v>
      </c>
    </row>
    <row r="194" customFormat="false" ht="15" hidden="false" customHeight="false" outlineLevel="0" collapsed="false">
      <c r="A194" s="2" t="n">
        <v>46171</v>
      </c>
      <c r="B194" s="3" t="n">
        <v>2026</v>
      </c>
      <c r="C194" s="3" t="n">
        <v>22</v>
      </c>
      <c r="D194" s="3" t="s">
        <v>312</v>
      </c>
      <c r="E194" s="3" t="s">
        <v>57</v>
      </c>
      <c r="F194" s="3" t="s">
        <v>313</v>
      </c>
      <c r="G194" s="3" t="s">
        <v>86</v>
      </c>
      <c r="H194" s="3" t="s">
        <v>87</v>
      </c>
      <c r="I194" s="3" t="s">
        <v>87</v>
      </c>
      <c r="J194" s="5" t="s">
        <v>28</v>
      </c>
      <c r="K194" s="3"/>
      <c r="L194" s="3" t="s">
        <v>21</v>
      </c>
      <c r="M194" s="3"/>
      <c r="N194" s="3" t="s">
        <v>223</v>
      </c>
    </row>
    <row r="195" customFormat="false" ht="15" hidden="false" customHeight="false" outlineLevel="0" collapsed="false">
      <c r="A195" s="2" t="n">
        <v>46175</v>
      </c>
      <c r="B195" s="3" t="n">
        <v>2026</v>
      </c>
      <c r="C195" s="3" t="n">
        <v>23</v>
      </c>
      <c r="D195" s="3" t="s">
        <v>314</v>
      </c>
      <c r="E195" s="3" t="s">
        <v>35</v>
      </c>
      <c r="F195" s="3" t="s">
        <v>36</v>
      </c>
      <c r="G195" s="3" t="s">
        <v>37</v>
      </c>
      <c r="H195" s="3" t="s">
        <v>38</v>
      </c>
      <c r="I195" s="3" t="s">
        <v>19</v>
      </c>
      <c r="J195" s="4" t="s">
        <v>20</v>
      </c>
      <c r="K195" s="3"/>
      <c r="L195" s="3" t="s">
        <v>21</v>
      </c>
      <c r="M195" s="3" t="s">
        <v>39</v>
      </c>
      <c r="N195" s="3" t="s">
        <v>40</v>
      </c>
    </row>
    <row r="196" customFormat="false" ht="15" hidden="false" customHeight="false" outlineLevel="0" collapsed="false">
      <c r="A196" s="2" t="n">
        <v>46189</v>
      </c>
      <c r="B196" s="3" t="n">
        <v>2026</v>
      </c>
      <c r="C196" s="3" t="n">
        <v>25</v>
      </c>
      <c r="D196" s="3" t="s">
        <v>315</v>
      </c>
      <c r="E196" s="3" t="s">
        <v>35</v>
      </c>
      <c r="F196" s="3" t="s">
        <v>316</v>
      </c>
      <c r="G196" s="3" t="s">
        <v>37</v>
      </c>
      <c r="H196" s="3" t="s">
        <v>38</v>
      </c>
      <c r="I196" s="3" t="s">
        <v>19</v>
      </c>
      <c r="J196" s="4" t="s">
        <v>20</v>
      </c>
      <c r="K196" s="3"/>
      <c r="L196" s="3" t="s">
        <v>21</v>
      </c>
      <c r="M196" s="3" t="s">
        <v>39</v>
      </c>
      <c r="N196" s="3" t="s">
        <v>40</v>
      </c>
    </row>
    <row r="197" customFormat="false" ht="15" hidden="false" customHeight="false" outlineLevel="0" collapsed="false">
      <c r="A197" s="2" t="n">
        <v>46190</v>
      </c>
      <c r="B197" s="3" t="n">
        <v>2026</v>
      </c>
      <c r="C197" s="3" t="n">
        <v>25</v>
      </c>
      <c r="D197" s="3" t="s">
        <v>315</v>
      </c>
      <c r="E197" s="3" t="s">
        <v>63</v>
      </c>
      <c r="F197" s="3" t="s">
        <v>317</v>
      </c>
      <c r="G197" s="3" t="s">
        <v>65</v>
      </c>
      <c r="H197" s="3" t="s">
        <v>66</v>
      </c>
      <c r="I197" s="3" t="s">
        <v>66</v>
      </c>
      <c r="J197" s="5" t="s">
        <v>28</v>
      </c>
      <c r="K197" s="3"/>
      <c r="L197" s="3" t="s">
        <v>21</v>
      </c>
      <c r="M197" s="3"/>
      <c r="N197" s="3" t="s">
        <v>318</v>
      </c>
    </row>
    <row r="198" customFormat="false" ht="15" hidden="false" customHeight="false" outlineLevel="0" collapsed="false">
      <c r="A198" s="2" t="n">
        <v>46192</v>
      </c>
      <c r="B198" s="3" t="n">
        <v>2026</v>
      </c>
      <c r="C198" s="3" t="n">
        <v>25</v>
      </c>
      <c r="D198" s="3" t="s">
        <v>315</v>
      </c>
      <c r="E198" s="3" t="s">
        <v>57</v>
      </c>
      <c r="F198" s="3" t="s">
        <v>319</v>
      </c>
      <c r="G198" s="3" t="s">
        <v>59</v>
      </c>
      <c r="H198" s="3" t="s">
        <v>60</v>
      </c>
      <c r="I198" s="3" t="s">
        <v>60</v>
      </c>
      <c r="J198" s="5" t="s">
        <v>28</v>
      </c>
      <c r="K198" s="3"/>
      <c r="L198" s="3" t="s">
        <v>21</v>
      </c>
      <c r="M198" s="3"/>
      <c r="N198" s="3" t="s">
        <v>320</v>
      </c>
    </row>
    <row r="199" customFormat="false" ht="15" hidden="false" customHeight="false" outlineLevel="0" collapsed="false">
      <c r="A199" s="2" t="n">
        <v>46197</v>
      </c>
      <c r="B199" s="3" t="n">
        <v>2026</v>
      </c>
      <c r="C199" s="3" t="n">
        <v>26</v>
      </c>
      <c r="D199" s="3" t="s">
        <v>321</v>
      </c>
      <c r="E199" s="3" t="s">
        <v>63</v>
      </c>
      <c r="F199" s="3" t="s">
        <v>322</v>
      </c>
      <c r="G199" s="3" t="s">
        <v>86</v>
      </c>
      <c r="H199" s="3" t="s">
        <v>87</v>
      </c>
      <c r="I199" s="3" t="s">
        <v>87</v>
      </c>
      <c r="J199" s="5" t="s">
        <v>28</v>
      </c>
      <c r="K199" s="3"/>
      <c r="L199" s="3" t="s">
        <v>21</v>
      </c>
      <c r="M199" s="3"/>
      <c r="N199" s="3" t="s">
        <v>223</v>
      </c>
    </row>
    <row r="200" customFormat="false" ht="15" hidden="false" customHeight="false" outlineLevel="0" collapsed="false">
      <c r="A200" s="2" t="n">
        <v>46199</v>
      </c>
      <c r="B200" s="3" t="n">
        <v>2026</v>
      </c>
      <c r="C200" s="3" t="n">
        <v>26</v>
      </c>
      <c r="D200" s="3" t="s">
        <v>321</v>
      </c>
      <c r="E200" s="3" t="s">
        <v>57</v>
      </c>
      <c r="F200" s="3" t="s">
        <v>323</v>
      </c>
      <c r="G200" s="3" t="s">
        <v>59</v>
      </c>
      <c r="H200" s="3" t="s">
        <v>71</v>
      </c>
      <c r="I200" s="3" t="s">
        <v>71</v>
      </c>
      <c r="J200" s="5" t="s">
        <v>28</v>
      </c>
      <c r="K200" s="3" t="n">
        <v>200000</v>
      </c>
      <c r="L200" s="3" t="s">
        <v>21</v>
      </c>
      <c r="M200" s="3"/>
      <c r="N200" s="3" t="s">
        <v>324</v>
      </c>
    </row>
    <row r="201" customFormat="false" ht="15" hidden="false" customHeight="false" outlineLevel="0" collapsed="false">
      <c r="A201" s="2" t="n">
        <v>46203</v>
      </c>
      <c r="B201" s="3" t="n">
        <v>2026</v>
      </c>
      <c r="C201" s="3" t="n">
        <v>27</v>
      </c>
      <c r="D201" s="3" t="s">
        <v>325</v>
      </c>
      <c r="E201" s="3" t="s">
        <v>35</v>
      </c>
      <c r="F201" s="3" t="s">
        <v>52</v>
      </c>
      <c r="G201" s="3" t="s">
        <v>37</v>
      </c>
      <c r="H201" s="3" t="s">
        <v>38</v>
      </c>
      <c r="I201" s="3" t="s">
        <v>19</v>
      </c>
      <c r="J201" s="4" t="s">
        <v>20</v>
      </c>
      <c r="K201" s="3"/>
      <c r="L201" s="3" t="s">
        <v>21</v>
      </c>
      <c r="M201" s="3" t="s">
        <v>39</v>
      </c>
      <c r="N201" s="3" t="s">
        <v>40</v>
      </c>
    </row>
    <row r="202" customFormat="false" ht="15" hidden="false" customHeight="false" outlineLevel="0" collapsed="false">
      <c r="A202" s="2" t="n">
        <v>46206</v>
      </c>
      <c r="B202" s="3" t="n">
        <v>2026</v>
      </c>
      <c r="C202" s="3" t="n">
        <v>27</v>
      </c>
      <c r="D202" s="3" t="s">
        <v>325</v>
      </c>
      <c r="E202" s="3" t="s">
        <v>57</v>
      </c>
      <c r="F202" s="3" t="s">
        <v>73</v>
      </c>
      <c r="G202" s="3" t="s">
        <v>59</v>
      </c>
      <c r="H202" s="3" t="s">
        <v>60</v>
      </c>
      <c r="I202" s="3" t="s">
        <v>60</v>
      </c>
      <c r="J202" s="5" t="s">
        <v>28</v>
      </c>
      <c r="K202" s="3" t="n">
        <v>400000</v>
      </c>
      <c r="L202" s="3" t="s">
        <v>21</v>
      </c>
      <c r="M202" s="3"/>
      <c r="N202" s="3" t="s">
        <v>318</v>
      </c>
    </row>
    <row r="203" customFormat="false" ht="15" hidden="false" customHeight="false" outlineLevel="0" collapsed="false">
      <c r="A203" s="2" t="n">
        <v>46207</v>
      </c>
      <c r="B203" s="3" t="n">
        <v>2026</v>
      </c>
      <c r="C203" s="3" t="n">
        <v>27</v>
      </c>
      <c r="D203" s="3" t="s">
        <v>325</v>
      </c>
      <c r="E203" s="3" t="s">
        <v>15</v>
      </c>
      <c r="F203" s="3" t="s">
        <v>78</v>
      </c>
      <c r="G203" s="3" t="s">
        <v>79</v>
      </c>
      <c r="H203" s="3" t="s">
        <v>80</v>
      </c>
      <c r="I203" s="3" t="s">
        <v>80</v>
      </c>
      <c r="J203" s="5" t="s">
        <v>28</v>
      </c>
      <c r="K203" s="3"/>
      <c r="L203" s="3" t="s">
        <v>21</v>
      </c>
      <c r="M203" s="3"/>
      <c r="N203" s="3" t="s">
        <v>81</v>
      </c>
    </row>
    <row r="204" customFormat="false" ht="15" hidden="false" customHeight="false" outlineLevel="0" collapsed="false">
      <c r="A204" s="2" t="n">
        <v>46218</v>
      </c>
      <c r="B204" s="3" t="n">
        <v>2026</v>
      </c>
      <c r="C204" s="3" t="n">
        <v>29</v>
      </c>
      <c r="D204" s="3" t="s">
        <v>326</v>
      </c>
      <c r="E204" s="3" t="s">
        <v>63</v>
      </c>
      <c r="F204" s="3" t="s">
        <v>327</v>
      </c>
      <c r="G204" s="3" t="s">
        <v>86</v>
      </c>
      <c r="H204" s="3" t="s">
        <v>102</v>
      </c>
      <c r="I204" s="3" t="s">
        <v>102</v>
      </c>
      <c r="J204" s="5" t="s">
        <v>28</v>
      </c>
      <c r="K204" s="3"/>
      <c r="L204" s="3" t="s">
        <v>21</v>
      </c>
      <c r="M204" s="3" t="s">
        <v>328</v>
      </c>
      <c r="N204" s="3" t="s">
        <v>223</v>
      </c>
    </row>
    <row r="205" customFormat="false" ht="15" hidden="false" customHeight="false" outlineLevel="0" collapsed="false">
      <c r="A205" s="2" t="n">
        <v>46220</v>
      </c>
      <c r="B205" s="3" t="n">
        <v>2026</v>
      </c>
      <c r="C205" s="3" t="n">
        <v>29</v>
      </c>
      <c r="D205" s="3" t="s">
        <v>326</v>
      </c>
      <c r="E205" s="3" t="s">
        <v>57</v>
      </c>
      <c r="F205" s="3" t="s">
        <v>329</v>
      </c>
      <c r="G205" s="3" t="s">
        <v>37</v>
      </c>
      <c r="H205" s="3" t="s">
        <v>38</v>
      </c>
      <c r="I205" s="3" t="s">
        <v>19</v>
      </c>
      <c r="J205" s="4" t="s">
        <v>20</v>
      </c>
      <c r="K205" s="3"/>
      <c r="L205" s="3" t="s">
        <v>21</v>
      </c>
      <c r="M205" s="3" t="s">
        <v>77</v>
      </c>
      <c r="N205" s="3" t="s">
        <v>40</v>
      </c>
    </row>
    <row r="206" customFormat="false" ht="15" hidden="false" customHeight="false" outlineLevel="0" collapsed="false">
      <c r="A206" s="2" t="n">
        <v>46220</v>
      </c>
      <c r="B206" s="3" t="n">
        <v>2026</v>
      </c>
      <c r="C206" s="3" t="n">
        <v>29</v>
      </c>
      <c r="D206" s="3" t="s">
        <v>326</v>
      </c>
      <c r="E206" s="3" t="s">
        <v>57</v>
      </c>
      <c r="F206" s="3" t="s">
        <v>330</v>
      </c>
      <c r="G206" s="3" t="s">
        <v>86</v>
      </c>
      <c r="H206" s="3" t="s">
        <v>127</v>
      </c>
      <c r="I206" s="3" t="s">
        <v>127</v>
      </c>
      <c r="J206" s="5" t="s">
        <v>28</v>
      </c>
      <c r="K206" s="3"/>
      <c r="L206" s="3" t="s">
        <v>21</v>
      </c>
      <c r="M206" s="3"/>
      <c r="N206" s="3" t="s">
        <v>223</v>
      </c>
    </row>
    <row r="207" customFormat="false" ht="15" hidden="false" customHeight="false" outlineLevel="0" collapsed="false">
      <c r="A207" s="2" t="n">
        <v>46225</v>
      </c>
      <c r="B207" s="3" t="n">
        <v>2026</v>
      </c>
      <c r="C207" s="3" t="n">
        <v>30</v>
      </c>
      <c r="D207" s="3" t="s">
        <v>331</v>
      </c>
      <c r="E207" s="3" t="s">
        <v>63</v>
      </c>
      <c r="F207" s="3" t="s">
        <v>106</v>
      </c>
      <c r="G207" s="3" t="s">
        <v>17</v>
      </c>
      <c r="H207" s="3" t="s">
        <v>179</v>
      </c>
      <c r="I207" s="3" t="s">
        <v>19</v>
      </c>
      <c r="J207" s="4" t="s">
        <v>20</v>
      </c>
      <c r="K207" s="3"/>
      <c r="L207" s="3" t="s">
        <v>21</v>
      </c>
      <c r="M207" s="3" t="s">
        <v>332</v>
      </c>
      <c r="N207" s="3" t="s">
        <v>295</v>
      </c>
    </row>
    <row r="208" customFormat="false" ht="15" hidden="false" customHeight="false" outlineLevel="0" collapsed="false">
      <c r="A208" s="2" t="n">
        <v>46226</v>
      </c>
      <c r="B208" s="3" t="n">
        <v>2026</v>
      </c>
      <c r="C208" s="3" t="n">
        <v>30</v>
      </c>
      <c r="D208" s="3" t="s">
        <v>331</v>
      </c>
      <c r="E208" s="3" t="s">
        <v>24</v>
      </c>
      <c r="F208" s="3" t="s">
        <v>333</v>
      </c>
      <c r="G208" s="3" t="s">
        <v>86</v>
      </c>
      <c r="H208" s="3" t="s">
        <v>127</v>
      </c>
      <c r="I208" s="3" t="s">
        <v>127</v>
      </c>
      <c r="J208" s="5" t="s">
        <v>28</v>
      </c>
      <c r="K208" s="3"/>
      <c r="L208" s="3" t="s">
        <v>21</v>
      </c>
      <c r="M208" s="3"/>
      <c r="N208" s="3" t="s">
        <v>247</v>
      </c>
    </row>
    <row r="209" customFormat="false" ht="15" hidden="false" customHeight="false" outlineLevel="0" collapsed="false">
      <c r="A209" s="2" t="n">
        <v>46228</v>
      </c>
      <c r="B209" s="3" t="n">
        <v>2026</v>
      </c>
      <c r="C209" s="3" t="n">
        <v>30</v>
      </c>
      <c r="D209" s="3" t="s">
        <v>331</v>
      </c>
      <c r="E209" s="3" t="s">
        <v>15</v>
      </c>
      <c r="F209" s="3" t="s">
        <v>50</v>
      </c>
      <c r="G209" s="3" t="s">
        <v>17</v>
      </c>
      <c r="H209" s="3" t="s">
        <v>179</v>
      </c>
      <c r="I209" s="3" t="s">
        <v>19</v>
      </c>
      <c r="J209" s="4" t="s">
        <v>20</v>
      </c>
      <c r="K209" s="3"/>
      <c r="L209" s="3" t="s">
        <v>21</v>
      </c>
      <c r="M209" s="3"/>
      <c r="N209" s="3" t="s">
        <v>295</v>
      </c>
    </row>
    <row r="210" customFormat="false" ht="15" hidden="false" customHeight="false" outlineLevel="0" collapsed="false">
      <c r="A210" s="2" t="n">
        <v>46231</v>
      </c>
      <c r="B210" s="3" t="n">
        <v>2026</v>
      </c>
      <c r="C210" s="3" t="n">
        <v>31</v>
      </c>
      <c r="D210" s="3" t="s">
        <v>334</v>
      </c>
      <c r="E210" s="3" t="s">
        <v>35</v>
      </c>
      <c r="F210" s="3" t="s">
        <v>48</v>
      </c>
      <c r="G210" s="3" t="s">
        <v>37</v>
      </c>
      <c r="H210" s="3" t="s">
        <v>38</v>
      </c>
      <c r="I210" s="3" t="s">
        <v>19</v>
      </c>
      <c r="J210" s="4" t="s">
        <v>20</v>
      </c>
      <c r="K210" s="3"/>
      <c r="L210" s="3" t="s">
        <v>21</v>
      </c>
      <c r="M210" s="3" t="s">
        <v>39</v>
      </c>
      <c r="N210" s="3" t="s">
        <v>40</v>
      </c>
    </row>
    <row r="211" customFormat="false" ht="15" hidden="false" customHeight="false" outlineLevel="0" collapsed="false">
      <c r="A211" s="2" t="n">
        <v>46232</v>
      </c>
      <c r="B211" s="3" t="n">
        <v>2026</v>
      </c>
      <c r="C211" s="3" t="n">
        <v>31</v>
      </c>
      <c r="D211" s="3" t="s">
        <v>334</v>
      </c>
      <c r="E211" s="3" t="s">
        <v>63</v>
      </c>
      <c r="F211" s="3" t="s">
        <v>335</v>
      </c>
      <c r="G211" s="3" t="s">
        <v>59</v>
      </c>
      <c r="H211" s="3" t="s">
        <v>93</v>
      </c>
      <c r="I211" s="3" t="s">
        <v>93</v>
      </c>
      <c r="J211" s="5" t="s">
        <v>28</v>
      </c>
      <c r="K211" s="3" t="n">
        <v>800000</v>
      </c>
      <c r="L211" s="8" t="s">
        <v>336</v>
      </c>
      <c r="M211" s="3"/>
      <c r="N211" s="3" t="s">
        <v>337</v>
      </c>
    </row>
    <row r="212" customFormat="false" ht="15" hidden="false" customHeight="false" outlineLevel="0" collapsed="false">
      <c r="A212" s="2" t="n">
        <v>46236</v>
      </c>
      <c r="B212" s="3" t="n">
        <v>2026</v>
      </c>
      <c r="C212" s="3" t="n">
        <v>31</v>
      </c>
      <c r="D212" s="3" t="s">
        <v>334</v>
      </c>
      <c r="E212" s="3" t="s">
        <v>131</v>
      </c>
      <c r="F212" s="3" t="s">
        <v>338</v>
      </c>
      <c r="G212" s="3" t="s">
        <v>86</v>
      </c>
      <c r="H212" s="3" t="s">
        <v>127</v>
      </c>
      <c r="I212" s="3" t="s">
        <v>127</v>
      </c>
      <c r="J212" s="5" t="s">
        <v>28</v>
      </c>
      <c r="K212" s="3"/>
      <c r="L212" s="7" t="s">
        <v>291</v>
      </c>
      <c r="M212" s="3" t="s">
        <v>339</v>
      </c>
      <c r="N212" s="3" t="s">
        <v>223</v>
      </c>
    </row>
    <row r="213" customFormat="false" ht="15" hidden="false" customHeight="false" outlineLevel="0" collapsed="false">
      <c r="A213" s="2" t="n">
        <v>46245</v>
      </c>
      <c r="B213" s="3" t="n">
        <v>2026</v>
      </c>
      <c r="C213" s="3" t="n">
        <v>33</v>
      </c>
      <c r="D213" s="3" t="s">
        <v>340</v>
      </c>
      <c r="E213" s="3" t="s">
        <v>35</v>
      </c>
      <c r="F213" s="3" t="s">
        <v>36</v>
      </c>
      <c r="G213" s="3" t="s">
        <v>37</v>
      </c>
      <c r="H213" s="3" t="s">
        <v>38</v>
      </c>
      <c r="I213" s="3" t="s">
        <v>19</v>
      </c>
      <c r="J213" s="4" t="s">
        <v>20</v>
      </c>
      <c r="K213" s="3"/>
      <c r="L213" s="8" t="s">
        <v>336</v>
      </c>
      <c r="M213" s="3" t="s">
        <v>39</v>
      </c>
      <c r="N213" s="3" t="s">
        <v>40</v>
      </c>
    </row>
    <row r="214" customFormat="false" ht="15" hidden="false" customHeight="false" outlineLevel="0" collapsed="false">
      <c r="A214" s="2" t="n">
        <v>46248</v>
      </c>
      <c r="B214" s="3" t="n">
        <v>2026</v>
      </c>
      <c r="C214" s="3" t="n">
        <v>33</v>
      </c>
      <c r="D214" s="3" t="s">
        <v>340</v>
      </c>
      <c r="E214" s="3" t="s">
        <v>57</v>
      </c>
      <c r="F214" s="3" t="s">
        <v>341</v>
      </c>
      <c r="G214" s="3" t="s">
        <v>86</v>
      </c>
      <c r="H214" s="3" t="s">
        <v>127</v>
      </c>
      <c r="I214" s="3" t="s">
        <v>127</v>
      </c>
      <c r="J214" s="5" t="s">
        <v>28</v>
      </c>
      <c r="K214" s="3"/>
      <c r="L214" s="8" t="s">
        <v>336</v>
      </c>
      <c r="M214" s="3"/>
      <c r="N214" s="3" t="s">
        <v>247</v>
      </c>
    </row>
    <row r="215" customFormat="false" ht="15" hidden="false" customHeight="false" outlineLevel="0" collapsed="false">
      <c r="A215" s="2" t="n">
        <v>46252</v>
      </c>
      <c r="B215" s="3" t="n">
        <v>2026</v>
      </c>
      <c r="C215" s="3" t="n">
        <v>34</v>
      </c>
      <c r="D215" s="3" t="s">
        <v>342</v>
      </c>
      <c r="E215" s="3" t="s">
        <v>35</v>
      </c>
      <c r="F215" s="3" t="s">
        <v>114</v>
      </c>
      <c r="G215" s="3" t="s">
        <v>37</v>
      </c>
      <c r="H215" s="3" t="s">
        <v>38</v>
      </c>
      <c r="I215" s="3" t="s">
        <v>19</v>
      </c>
      <c r="J215" s="4" t="s">
        <v>20</v>
      </c>
      <c r="K215" s="3"/>
      <c r="L215" s="8" t="s">
        <v>336</v>
      </c>
      <c r="M215" s="3" t="s">
        <v>39</v>
      </c>
      <c r="N215" s="3" t="s">
        <v>40</v>
      </c>
    </row>
    <row r="216" customFormat="false" ht="15" hidden="false" customHeight="false" outlineLevel="0" collapsed="false">
      <c r="A216" s="2" t="n">
        <v>46253</v>
      </c>
      <c r="B216" s="3" t="n">
        <v>2026</v>
      </c>
      <c r="C216" s="3" t="n">
        <v>34</v>
      </c>
      <c r="D216" s="3" t="s">
        <v>342</v>
      </c>
      <c r="E216" s="3" t="s">
        <v>63</v>
      </c>
      <c r="F216" s="3" t="s">
        <v>46</v>
      </c>
      <c r="G216" s="3" t="s">
        <v>17</v>
      </c>
      <c r="H216" s="3" t="s">
        <v>179</v>
      </c>
      <c r="I216" s="3" t="s">
        <v>19</v>
      </c>
      <c r="J216" s="4" t="s">
        <v>20</v>
      </c>
      <c r="K216" s="3"/>
      <c r="L216" s="8" t="s">
        <v>336</v>
      </c>
      <c r="M216" s="3"/>
      <c r="N216" s="3" t="s">
        <v>295</v>
      </c>
    </row>
    <row r="217" customFormat="false" ht="15" hidden="false" customHeight="false" outlineLevel="0" collapsed="false">
      <c r="A217" s="2" t="n">
        <v>46263</v>
      </c>
      <c r="B217" s="3" t="n">
        <v>2026</v>
      </c>
      <c r="C217" s="3" t="n">
        <v>35</v>
      </c>
      <c r="D217" s="3" t="s">
        <v>343</v>
      </c>
      <c r="E217" s="3" t="s">
        <v>15</v>
      </c>
      <c r="F217" s="3" t="s">
        <v>123</v>
      </c>
      <c r="G217" s="3" t="s">
        <v>17</v>
      </c>
      <c r="H217" s="3" t="s">
        <v>179</v>
      </c>
      <c r="I217" s="3" t="s">
        <v>19</v>
      </c>
      <c r="J217" s="4" t="s">
        <v>20</v>
      </c>
      <c r="K217" s="3"/>
      <c r="L217" s="8" t="s">
        <v>336</v>
      </c>
      <c r="M217" s="3"/>
      <c r="N217" s="3" t="s">
        <v>295</v>
      </c>
    </row>
    <row r="218" customFormat="false" ht="15" hidden="false" customHeight="false" outlineLevel="0" collapsed="false">
      <c r="A218" s="2" t="n">
        <v>46266</v>
      </c>
      <c r="B218" s="3" t="n">
        <v>2026</v>
      </c>
      <c r="C218" s="3" t="n">
        <v>36</v>
      </c>
      <c r="D218" s="3" t="s">
        <v>344</v>
      </c>
      <c r="E218" s="3" t="s">
        <v>35</v>
      </c>
      <c r="F218" s="3" t="s">
        <v>56</v>
      </c>
      <c r="G218" s="3" t="s">
        <v>37</v>
      </c>
      <c r="H218" s="3" t="s">
        <v>38</v>
      </c>
      <c r="I218" s="3" t="s">
        <v>19</v>
      </c>
      <c r="J218" s="4" t="s">
        <v>20</v>
      </c>
      <c r="K218" s="3"/>
      <c r="L218" s="8" t="s">
        <v>336</v>
      </c>
      <c r="M218" s="3" t="s">
        <v>39</v>
      </c>
      <c r="N218" s="3" t="s">
        <v>40</v>
      </c>
    </row>
    <row r="219" customFormat="false" ht="15" hidden="false" customHeight="false" outlineLevel="0" collapsed="false">
      <c r="A219" s="2" t="n">
        <v>46270</v>
      </c>
      <c r="B219" s="3" t="n">
        <v>2026</v>
      </c>
      <c r="C219" s="3" t="n">
        <v>36</v>
      </c>
      <c r="D219" s="3" t="s">
        <v>344</v>
      </c>
      <c r="E219" s="3" t="s">
        <v>15</v>
      </c>
      <c r="F219" s="3" t="s">
        <v>345</v>
      </c>
      <c r="G219" s="3" t="s">
        <v>101</v>
      </c>
      <c r="H219" s="3" t="s">
        <v>102</v>
      </c>
      <c r="I219" s="3" t="s">
        <v>103</v>
      </c>
      <c r="J219" s="4" t="s">
        <v>20</v>
      </c>
      <c r="K219" s="3"/>
      <c r="L219" s="8" t="s">
        <v>336</v>
      </c>
      <c r="M219" s="3" t="s">
        <v>346</v>
      </c>
      <c r="N219" s="3" t="s">
        <v>347</v>
      </c>
    </row>
    <row r="220" customFormat="false" ht="15" hidden="false" customHeight="false" outlineLevel="0" collapsed="false">
      <c r="A220" s="2" t="n">
        <v>46270</v>
      </c>
      <c r="B220" s="3" t="n">
        <v>2026</v>
      </c>
      <c r="C220" s="3" t="n">
        <v>36</v>
      </c>
      <c r="D220" s="3" t="s">
        <v>344</v>
      </c>
      <c r="E220" s="3" t="s">
        <v>15</v>
      </c>
      <c r="F220" s="3" t="s">
        <v>348</v>
      </c>
      <c r="G220" s="3" t="s">
        <v>17</v>
      </c>
      <c r="H220" s="3" t="s">
        <v>179</v>
      </c>
      <c r="I220" s="3" t="s">
        <v>19</v>
      </c>
      <c r="J220" s="4" t="s">
        <v>20</v>
      </c>
      <c r="K220" s="3"/>
      <c r="L220" s="8" t="s">
        <v>336</v>
      </c>
      <c r="M220" s="3"/>
      <c r="N220" s="3" t="s">
        <v>295</v>
      </c>
    </row>
    <row r="221" customFormat="false" ht="15" hidden="false" customHeight="false" outlineLevel="0" collapsed="false">
      <c r="A221" s="2" t="n">
        <v>46277</v>
      </c>
      <c r="B221" s="3" t="n">
        <v>2026</v>
      </c>
      <c r="C221" s="3" t="n">
        <v>37</v>
      </c>
      <c r="D221" s="3" t="s">
        <v>349</v>
      </c>
      <c r="E221" s="3" t="s">
        <v>15</v>
      </c>
      <c r="F221" s="3" t="s">
        <v>33</v>
      </c>
      <c r="G221" s="3" t="s">
        <v>17</v>
      </c>
      <c r="H221" s="3" t="s">
        <v>179</v>
      </c>
      <c r="I221" s="3" t="s">
        <v>19</v>
      </c>
      <c r="J221" s="4" t="s">
        <v>20</v>
      </c>
      <c r="K221" s="3"/>
      <c r="L221" s="8" t="s">
        <v>336</v>
      </c>
      <c r="M221" s="3"/>
      <c r="N221" s="3" t="s">
        <v>295</v>
      </c>
    </row>
    <row r="222" customFormat="false" ht="15" hidden="false" customHeight="false" outlineLevel="0" collapsed="false">
      <c r="A222" s="2" t="n">
        <v>46280</v>
      </c>
      <c r="B222" s="3" t="n">
        <v>2026</v>
      </c>
      <c r="C222" s="3" t="n">
        <v>38</v>
      </c>
      <c r="D222" s="3" t="s">
        <v>350</v>
      </c>
      <c r="E222" s="3" t="s">
        <v>35</v>
      </c>
      <c r="F222" s="3" t="s">
        <v>114</v>
      </c>
      <c r="G222" s="3" t="s">
        <v>37</v>
      </c>
      <c r="H222" s="3" t="s">
        <v>38</v>
      </c>
      <c r="I222" s="3" t="s">
        <v>19</v>
      </c>
      <c r="J222" s="4" t="s">
        <v>20</v>
      </c>
      <c r="K222" s="3"/>
      <c r="L222" s="8" t="s">
        <v>336</v>
      </c>
      <c r="M222" s="3" t="s">
        <v>39</v>
      </c>
      <c r="N222" s="3" t="s">
        <v>40</v>
      </c>
    </row>
    <row r="223" customFormat="false" ht="15" hidden="false" customHeight="false" outlineLevel="0" collapsed="false">
      <c r="A223" s="2" t="n">
        <v>46284</v>
      </c>
      <c r="B223" s="3" t="n">
        <v>2026</v>
      </c>
      <c r="C223" s="3" t="n">
        <v>38</v>
      </c>
      <c r="D223" s="3" t="s">
        <v>350</v>
      </c>
      <c r="E223" s="3" t="s">
        <v>15</v>
      </c>
      <c r="F223" s="3" t="s">
        <v>351</v>
      </c>
      <c r="G223" s="3" t="s">
        <v>101</v>
      </c>
      <c r="H223" s="3" t="s">
        <v>102</v>
      </c>
      <c r="I223" s="3" t="s">
        <v>103</v>
      </c>
      <c r="J223" s="4" t="s">
        <v>20</v>
      </c>
      <c r="K223" s="3"/>
      <c r="L223" s="8" t="s">
        <v>336</v>
      </c>
      <c r="M223" s="3" t="s">
        <v>346</v>
      </c>
      <c r="N223" s="3" t="s">
        <v>347</v>
      </c>
    </row>
    <row r="224" customFormat="false" ht="15" hidden="false" customHeight="false" outlineLevel="0" collapsed="false">
      <c r="A224" s="2" t="n">
        <v>46291</v>
      </c>
      <c r="B224" s="3" t="n">
        <v>2026</v>
      </c>
      <c r="C224" s="3" t="n">
        <v>39</v>
      </c>
      <c r="D224" s="3" t="s">
        <v>352</v>
      </c>
      <c r="E224" s="3" t="s">
        <v>15</v>
      </c>
      <c r="F224" s="3" t="s">
        <v>353</v>
      </c>
      <c r="G224" s="3" t="s">
        <v>101</v>
      </c>
      <c r="H224" s="3" t="s">
        <v>102</v>
      </c>
      <c r="I224" s="3" t="s">
        <v>103</v>
      </c>
      <c r="J224" s="4" t="s">
        <v>20</v>
      </c>
      <c r="K224" s="3"/>
      <c r="L224" s="8" t="s">
        <v>336</v>
      </c>
      <c r="M224" s="3" t="s">
        <v>346</v>
      </c>
      <c r="N224" s="3" t="s">
        <v>347</v>
      </c>
    </row>
    <row r="225" customFormat="false" ht="15" hidden="false" customHeight="false" outlineLevel="0" collapsed="false">
      <c r="A225" s="2" t="n">
        <v>46292</v>
      </c>
      <c r="B225" s="3" t="n">
        <v>2026</v>
      </c>
      <c r="C225" s="3" t="n">
        <v>39</v>
      </c>
      <c r="D225" s="3" t="s">
        <v>352</v>
      </c>
      <c r="E225" s="3" t="s">
        <v>131</v>
      </c>
      <c r="F225" s="3" t="s">
        <v>119</v>
      </c>
      <c r="G225" s="3" t="s">
        <v>17</v>
      </c>
      <c r="H225" s="3" t="s">
        <v>179</v>
      </c>
      <c r="I225" s="3" t="s">
        <v>19</v>
      </c>
      <c r="J225" s="4" t="s">
        <v>20</v>
      </c>
      <c r="K225" s="3"/>
      <c r="L225" s="8" t="s">
        <v>336</v>
      </c>
      <c r="M225" s="3"/>
      <c r="N225" s="3" t="s">
        <v>295</v>
      </c>
    </row>
    <row r="226" customFormat="false" ht="15" hidden="false" customHeight="false" outlineLevel="0" collapsed="false">
      <c r="A226" s="2" t="n">
        <v>46305</v>
      </c>
      <c r="B226" s="3" t="n">
        <v>2026</v>
      </c>
      <c r="C226" s="3" t="n">
        <v>41</v>
      </c>
      <c r="D226" s="3" t="s">
        <v>354</v>
      </c>
      <c r="E226" s="3" t="s">
        <v>15</v>
      </c>
      <c r="F226" s="3" t="s">
        <v>355</v>
      </c>
      <c r="G226" s="3" t="s">
        <v>101</v>
      </c>
      <c r="H226" s="3" t="s">
        <v>102</v>
      </c>
      <c r="I226" s="3" t="s">
        <v>103</v>
      </c>
      <c r="J226" s="4" t="s">
        <v>20</v>
      </c>
      <c r="K226" s="3"/>
      <c r="L226" s="8" t="s">
        <v>336</v>
      </c>
      <c r="M226" s="3" t="s">
        <v>346</v>
      </c>
      <c r="N226" s="3" t="s">
        <v>347</v>
      </c>
    </row>
    <row r="227" customFormat="false" ht="15" hidden="false" customHeight="false" outlineLevel="0" collapsed="false">
      <c r="A227" s="2" t="n">
        <v>46308</v>
      </c>
      <c r="B227" s="3" t="n">
        <v>2026</v>
      </c>
      <c r="C227" s="3" t="n">
        <v>42</v>
      </c>
      <c r="D227" s="3" t="s">
        <v>356</v>
      </c>
      <c r="E227" s="3" t="s">
        <v>35</v>
      </c>
      <c r="F227" s="3" t="s">
        <v>357</v>
      </c>
      <c r="G227" s="3" t="s">
        <v>126</v>
      </c>
      <c r="H227" s="3" t="s">
        <v>127</v>
      </c>
      <c r="I227" s="3" t="s">
        <v>19</v>
      </c>
      <c r="J227" s="4" t="s">
        <v>20</v>
      </c>
      <c r="K227" s="3" t="n">
        <v>16958</v>
      </c>
      <c r="L227" s="9" t="s">
        <v>358</v>
      </c>
      <c r="M227" s="3" t="s">
        <v>359</v>
      </c>
      <c r="N227" s="3" t="s">
        <v>360</v>
      </c>
    </row>
    <row r="228" customFormat="false" ht="15" hidden="false" customHeight="false" outlineLevel="0" collapsed="false">
      <c r="A228" s="2" t="n">
        <v>46309</v>
      </c>
      <c r="B228" s="3" t="n">
        <v>2026</v>
      </c>
      <c r="C228" s="3" t="n">
        <v>42</v>
      </c>
      <c r="D228" s="3" t="s">
        <v>356</v>
      </c>
      <c r="E228" s="3" t="s">
        <v>63</v>
      </c>
      <c r="F228" s="3" t="s">
        <v>84</v>
      </c>
      <c r="G228" s="3" t="s">
        <v>17</v>
      </c>
      <c r="H228" s="3" t="s">
        <v>179</v>
      </c>
      <c r="I228" s="3" t="s">
        <v>19</v>
      </c>
      <c r="J228" s="4" t="s">
        <v>20</v>
      </c>
      <c r="K228" s="3"/>
      <c r="L228" s="8" t="s">
        <v>336</v>
      </c>
      <c r="M228" s="3"/>
      <c r="N228" s="3" t="s">
        <v>295</v>
      </c>
    </row>
    <row r="229" customFormat="false" ht="15" hidden="false" customHeight="false" outlineLevel="0" collapsed="false">
      <c r="A229" s="2" t="n">
        <v>46311</v>
      </c>
      <c r="B229" s="3" t="n">
        <v>2026</v>
      </c>
      <c r="C229" s="3" t="n">
        <v>42</v>
      </c>
      <c r="D229" s="3" t="s">
        <v>356</v>
      </c>
      <c r="E229" s="3" t="s">
        <v>57</v>
      </c>
      <c r="F229" s="3" t="s">
        <v>361</v>
      </c>
      <c r="G229" s="3" t="s">
        <v>126</v>
      </c>
      <c r="H229" s="3" t="s">
        <v>127</v>
      </c>
      <c r="I229" s="3" t="s">
        <v>19</v>
      </c>
      <c r="J229" s="4" t="s">
        <v>20</v>
      </c>
      <c r="K229" s="3" t="n">
        <v>16958</v>
      </c>
      <c r="L229" s="9" t="s">
        <v>358</v>
      </c>
      <c r="M229" s="3" t="s">
        <v>359</v>
      </c>
      <c r="N229" s="3" t="s">
        <v>360</v>
      </c>
    </row>
    <row r="230" customFormat="false" ht="15" hidden="false" customHeight="false" outlineLevel="0" collapsed="false">
      <c r="A230" s="2" t="n">
        <v>46312</v>
      </c>
      <c r="B230" s="3" t="n">
        <v>2026</v>
      </c>
      <c r="C230" s="3" t="n">
        <v>42</v>
      </c>
      <c r="D230" s="3" t="s">
        <v>356</v>
      </c>
      <c r="E230" s="3" t="s">
        <v>15</v>
      </c>
      <c r="F230" s="3" t="s">
        <v>362</v>
      </c>
      <c r="G230" s="3" t="s">
        <v>133</v>
      </c>
      <c r="H230" s="3" t="s">
        <v>60</v>
      </c>
      <c r="I230" s="3" t="s">
        <v>60</v>
      </c>
      <c r="J230" s="5" t="s">
        <v>28</v>
      </c>
      <c r="K230" s="3" t="n">
        <v>15000</v>
      </c>
      <c r="L230" s="7" t="s">
        <v>291</v>
      </c>
      <c r="M230" s="3" t="s">
        <v>363</v>
      </c>
      <c r="N230" s="3" t="s">
        <v>364</v>
      </c>
    </row>
    <row r="231" customFormat="false" ht="15" hidden="false" customHeight="false" outlineLevel="0" collapsed="false">
      <c r="A231" s="2" t="n">
        <v>46313</v>
      </c>
      <c r="B231" s="3" t="n">
        <v>2026</v>
      </c>
      <c r="C231" s="3" t="n">
        <v>42</v>
      </c>
      <c r="D231" s="3" t="s">
        <v>356</v>
      </c>
      <c r="E231" s="3" t="s">
        <v>131</v>
      </c>
      <c r="F231" s="3" t="s">
        <v>365</v>
      </c>
      <c r="G231" s="3" t="s">
        <v>126</v>
      </c>
      <c r="H231" s="3" t="s">
        <v>127</v>
      </c>
      <c r="I231" s="3" t="s">
        <v>19</v>
      </c>
      <c r="J231" s="4" t="s">
        <v>20</v>
      </c>
      <c r="K231" s="3" t="n">
        <v>16958</v>
      </c>
      <c r="L231" s="9" t="s">
        <v>358</v>
      </c>
      <c r="M231" s="3" t="s">
        <v>359</v>
      </c>
      <c r="N231" s="3" t="s">
        <v>360</v>
      </c>
    </row>
    <row r="232" customFormat="false" ht="15" hidden="false" customHeight="false" outlineLevel="0" collapsed="false">
      <c r="A232" s="2" t="n">
        <v>46319</v>
      </c>
      <c r="B232" s="3" t="n">
        <v>2026</v>
      </c>
      <c r="C232" s="3" t="n">
        <v>43</v>
      </c>
      <c r="D232" s="3" t="s">
        <v>366</v>
      </c>
      <c r="E232" s="3" t="s">
        <v>15</v>
      </c>
      <c r="F232" s="3" t="s">
        <v>367</v>
      </c>
      <c r="G232" s="3" t="s">
        <v>126</v>
      </c>
      <c r="H232" s="3" t="s">
        <v>127</v>
      </c>
      <c r="I232" s="3" t="s">
        <v>19</v>
      </c>
      <c r="J232" s="4" t="s">
        <v>20</v>
      </c>
      <c r="K232" s="3" t="n">
        <v>16958</v>
      </c>
      <c r="L232" s="9" t="s">
        <v>358</v>
      </c>
      <c r="M232" s="3" t="s">
        <v>359</v>
      </c>
      <c r="N232" s="3" t="s">
        <v>360</v>
      </c>
    </row>
    <row r="233" customFormat="false" ht="15" hidden="false" customHeight="false" outlineLevel="0" collapsed="false">
      <c r="A233" s="2" t="n">
        <v>46319</v>
      </c>
      <c r="B233" s="3" t="n">
        <v>2026</v>
      </c>
      <c r="C233" s="3" t="n">
        <v>43</v>
      </c>
      <c r="D233" s="3" t="s">
        <v>366</v>
      </c>
      <c r="E233" s="3" t="s">
        <v>15</v>
      </c>
      <c r="F233" s="3" t="s">
        <v>82</v>
      </c>
      <c r="G233" s="3" t="s">
        <v>17</v>
      </c>
      <c r="H233" s="3" t="s">
        <v>179</v>
      </c>
      <c r="I233" s="3" t="s">
        <v>19</v>
      </c>
      <c r="J233" s="4" t="s">
        <v>20</v>
      </c>
      <c r="K233" s="3"/>
      <c r="L233" s="8" t="s">
        <v>336</v>
      </c>
      <c r="M233" s="3"/>
      <c r="N233" s="3" t="s">
        <v>295</v>
      </c>
    </row>
    <row r="234" customFormat="false" ht="15" hidden="false" customHeight="false" outlineLevel="0" collapsed="false">
      <c r="A234" s="2" t="n">
        <v>46324</v>
      </c>
      <c r="B234" s="3" t="n">
        <v>2026</v>
      </c>
      <c r="C234" s="3" t="n">
        <v>44</v>
      </c>
      <c r="D234" s="3" t="s">
        <v>368</v>
      </c>
      <c r="E234" s="3" t="s">
        <v>24</v>
      </c>
      <c r="F234" s="3" t="s">
        <v>369</v>
      </c>
      <c r="G234" s="3" t="s">
        <v>126</v>
      </c>
      <c r="H234" s="3" t="s">
        <v>127</v>
      </c>
      <c r="I234" s="3" t="s">
        <v>19</v>
      </c>
      <c r="J234" s="4" t="s">
        <v>20</v>
      </c>
      <c r="K234" s="3" t="n">
        <v>16958</v>
      </c>
      <c r="L234" s="9" t="s">
        <v>358</v>
      </c>
      <c r="M234" s="3" t="s">
        <v>359</v>
      </c>
      <c r="N234" s="3" t="s">
        <v>360</v>
      </c>
    </row>
    <row r="235" customFormat="false" ht="15" hidden="false" customHeight="false" outlineLevel="0" collapsed="false">
      <c r="A235" s="2" t="n">
        <v>46326</v>
      </c>
      <c r="B235" s="3" t="n">
        <v>2026</v>
      </c>
      <c r="C235" s="3" t="n">
        <v>44</v>
      </c>
      <c r="D235" s="3" t="s">
        <v>368</v>
      </c>
      <c r="E235" s="3" t="s">
        <v>15</v>
      </c>
      <c r="F235" s="3" t="s">
        <v>41</v>
      </c>
      <c r="G235" s="3" t="s">
        <v>17</v>
      </c>
      <c r="H235" s="3" t="s">
        <v>179</v>
      </c>
      <c r="I235" s="3" t="s">
        <v>19</v>
      </c>
      <c r="J235" s="4" t="s">
        <v>20</v>
      </c>
      <c r="K235" s="3"/>
      <c r="L235" s="8" t="s">
        <v>336</v>
      </c>
      <c r="M235" s="3"/>
      <c r="N235" s="3" t="s">
        <v>295</v>
      </c>
    </row>
    <row r="236" customFormat="false" ht="15" hidden="false" customHeight="false" outlineLevel="0" collapsed="false">
      <c r="A236" s="2" t="n">
        <v>46327</v>
      </c>
      <c r="B236" s="3" t="n">
        <v>2026</v>
      </c>
      <c r="C236" s="3" t="n">
        <v>44</v>
      </c>
      <c r="D236" s="3" t="s">
        <v>368</v>
      </c>
      <c r="E236" s="3" t="s">
        <v>131</v>
      </c>
      <c r="F236" s="3" t="s">
        <v>370</v>
      </c>
      <c r="G236" s="3" t="s">
        <v>126</v>
      </c>
      <c r="H236" s="3" t="s">
        <v>127</v>
      </c>
      <c r="I236" s="3" t="s">
        <v>19</v>
      </c>
      <c r="J236" s="4" t="s">
        <v>20</v>
      </c>
      <c r="K236" s="3" t="n">
        <v>16958</v>
      </c>
      <c r="L236" s="9" t="s">
        <v>358</v>
      </c>
      <c r="M236" s="3" t="s">
        <v>359</v>
      </c>
      <c r="N236" s="3" t="s">
        <v>360</v>
      </c>
    </row>
    <row r="237" customFormat="false" ht="15" hidden="false" customHeight="false" outlineLevel="0" collapsed="false">
      <c r="A237" s="2" t="n">
        <v>46333</v>
      </c>
      <c r="B237" s="3" t="n">
        <v>2026</v>
      </c>
      <c r="C237" s="3" t="n">
        <v>45</v>
      </c>
      <c r="D237" s="3" t="s">
        <v>371</v>
      </c>
      <c r="E237" s="3" t="s">
        <v>15</v>
      </c>
      <c r="F237" s="3" t="s">
        <v>372</v>
      </c>
      <c r="G237" s="3" t="s">
        <v>101</v>
      </c>
      <c r="H237" s="3" t="s">
        <v>102</v>
      </c>
      <c r="I237" s="3" t="s">
        <v>103</v>
      </c>
      <c r="J237" s="4" t="s">
        <v>20</v>
      </c>
      <c r="K237" s="3"/>
      <c r="L237" s="8" t="s">
        <v>336</v>
      </c>
      <c r="M237" s="3" t="s">
        <v>346</v>
      </c>
      <c r="N237" s="3" t="s">
        <v>347</v>
      </c>
    </row>
    <row r="238" customFormat="false" ht="15" hidden="false" customHeight="false" outlineLevel="0" collapsed="false">
      <c r="A238" s="2" t="n">
        <v>46339</v>
      </c>
      <c r="B238" s="3" t="n">
        <v>2026</v>
      </c>
      <c r="C238" s="3" t="n">
        <v>46</v>
      </c>
      <c r="D238" s="3" t="s">
        <v>373</v>
      </c>
      <c r="E238" s="3" t="s">
        <v>57</v>
      </c>
      <c r="F238" s="3" t="s">
        <v>374</v>
      </c>
      <c r="G238" s="3" t="s">
        <v>126</v>
      </c>
      <c r="H238" s="3" t="s">
        <v>127</v>
      </c>
      <c r="I238" s="3" t="s">
        <v>19</v>
      </c>
      <c r="J238" s="4" t="s">
        <v>20</v>
      </c>
      <c r="K238" s="3" t="n">
        <v>16958</v>
      </c>
      <c r="L238" s="9" t="s">
        <v>358</v>
      </c>
      <c r="M238" s="3" t="s">
        <v>359</v>
      </c>
      <c r="N238" s="3" t="s">
        <v>360</v>
      </c>
    </row>
    <row r="239" customFormat="false" ht="15" hidden="false" customHeight="false" outlineLevel="0" collapsed="false">
      <c r="A239" s="2" t="n">
        <v>46340</v>
      </c>
      <c r="B239" s="3" t="n">
        <v>2026</v>
      </c>
      <c r="C239" s="3" t="n">
        <v>46</v>
      </c>
      <c r="D239" s="3" t="s">
        <v>373</v>
      </c>
      <c r="E239" s="3" t="s">
        <v>15</v>
      </c>
      <c r="F239" s="3" t="s">
        <v>375</v>
      </c>
      <c r="G239" s="3" t="s">
        <v>101</v>
      </c>
      <c r="H239" s="3" t="s">
        <v>102</v>
      </c>
      <c r="I239" s="3" t="s">
        <v>103</v>
      </c>
      <c r="J239" s="4" t="s">
        <v>20</v>
      </c>
      <c r="K239" s="3"/>
      <c r="L239" s="8" t="s">
        <v>336</v>
      </c>
      <c r="M239" s="3" t="s">
        <v>346</v>
      </c>
      <c r="N239" s="3" t="s">
        <v>347</v>
      </c>
    </row>
    <row r="240" customFormat="false" ht="15" hidden="false" customHeight="false" outlineLevel="0" collapsed="false">
      <c r="A240" s="2" t="n">
        <v>46341</v>
      </c>
      <c r="B240" s="3" t="n">
        <v>2026</v>
      </c>
      <c r="C240" s="3" t="n">
        <v>46</v>
      </c>
      <c r="D240" s="3" t="s">
        <v>373</v>
      </c>
      <c r="E240" s="3" t="s">
        <v>131</v>
      </c>
      <c r="F240" s="3" t="s">
        <v>376</v>
      </c>
      <c r="G240" s="3" t="s">
        <v>126</v>
      </c>
      <c r="H240" s="3" t="s">
        <v>127</v>
      </c>
      <c r="I240" s="3" t="s">
        <v>19</v>
      </c>
      <c r="J240" s="4" t="s">
        <v>20</v>
      </c>
      <c r="K240" s="3" t="n">
        <v>16958</v>
      </c>
      <c r="L240" s="9" t="s">
        <v>358</v>
      </c>
      <c r="M240" s="3" t="s">
        <v>359</v>
      </c>
      <c r="N240" s="3" t="s">
        <v>360</v>
      </c>
    </row>
    <row r="241" customFormat="false" ht="15" hidden="false" customHeight="false" outlineLevel="0" collapsed="false">
      <c r="A241" s="2" t="n">
        <v>46343</v>
      </c>
      <c r="B241" s="3" t="n">
        <v>2026</v>
      </c>
      <c r="C241" s="3" t="n">
        <v>47</v>
      </c>
      <c r="D241" s="3" t="s">
        <v>377</v>
      </c>
      <c r="E241" s="3" t="s">
        <v>35</v>
      </c>
      <c r="F241" s="3" t="s">
        <v>378</v>
      </c>
      <c r="G241" s="3" t="s">
        <v>126</v>
      </c>
      <c r="H241" s="3" t="s">
        <v>127</v>
      </c>
      <c r="I241" s="3" t="s">
        <v>19</v>
      </c>
      <c r="J241" s="4" t="s">
        <v>20</v>
      </c>
      <c r="K241" s="3" t="n">
        <v>16958</v>
      </c>
      <c r="L241" s="9" t="s">
        <v>358</v>
      </c>
      <c r="M241" s="3" t="s">
        <v>359</v>
      </c>
      <c r="N241" s="3" t="s">
        <v>360</v>
      </c>
    </row>
    <row r="242" customFormat="false" ht="15" hidden="false" customHeight="false" outlineLevel="0" collapsed="false">
      <c r="A242" s="2" t="n">
        <v>46352</v>
      </c>
      <c r="B242" s="3" t="n">
        <v>2026</v>
      </c>
      <c r="C242" s="3" t="n">
        <v>48</v>
      </c>
      <c r="D242" s="3" t="s">
        <v>379</v>
      </c>
      <c r="E242" s="3" t="s">
        <v>24</v>
      </c>
      <c r="F242" s="3" t="s">
        <v>369</v>
      </c>
      <c r="G242" s="3" t="s">
        <v>126</v>
      </c>
      <c r="H242" s="3" t="s">
        <v>127</v>
      </c>
      <c r="I242" s="3" t="s">
        <v>19</v>
      </c>
      <c r="J242" s="4" t="s">
        <v>20</v>
      </c>
      <c r="K242" s="3" t="n">
        <v>16958</v>
      </c>
      <c r="L242" s="9" t="s">
        <v>358</v>
      </c>
      <c r="M242" s="3" t="s">
        <v>359</v>
      </c>
      <c r="N242" s="3" t="s">
        <v>360</v>
      </c>
    </row>
    <row r="243" customFormat="false" ht="15" hidden="false" customHeight="false" outlineLevel="0" collapsed="false">
      <c r="A243" s="2" t="n">
        <v>46354</v>
      </c>
      <c r="B243" s="3" t="n">
        <v>2026</v>
      </c>
      <c r="C243" s="3" t="n">
        <v>48</v>
      </c>
      <c r="D243" s="3" t="s">
        <v>379</v>
      </c>
      <c r="E243" s="3" t="s">
        <v>15</v>
      </c>
      <c r="F243" s="3" t="s">
        <v>153</v>
      </c>
      <c r="G243" s="3" t="s">
        <v>101</v>
      </c>
      <c r="H243" s="3" t="s">
        <v>102</v>
      </c>
      <c r="I243" s="3" t="s">
        <v>103</v>
      </c>
      <c r="J243" s="4" t="s">
        <v>20</v>
      </c>
      <c r="K243" s="3"/>
      <c r="L243" s="8" t="s">
        <v>336</v>
      </c>
      <c r="M243" s="3" t="s">
        <v>346</v>
      </c>
      <c r="N243" s="3" t="s">
        <v>347</v>
      </c>
    </row>
    <row r="244" customFormat="false" ht="15" hidden="false" customHeight="false" outlineLevel="0" collapsed="false">
      <c r="A244" s="2" t="n">
        <v>46354</v>
      </c>
      <c r="B244" s="3" t="n">
        <v>2026</v>
      </c>
      <c r="C244" s="3" t="n">
        <v>48</v>
      </c>
      <c r="D244" s="3" t="s">
        <v>379</v>
      </c>
      <c r="E244" s="3" t="s">
        <v>15</v>
      </c>
      <c r="F244" s="3" t="s">
        <v>380</v>
      </c>
      <c r="G244" s="3" t="s">
        <v>126</v>
      </c>
      <c r="H244" s="3" t="s">
        <v>127</v>
      </c>
      <c r="I244" s="3" t="s">
        <v>19</v>
      </c>
      <c r="J244" s="4" t="s">
        <v>20</v>
      </c>
      <c r="K244" s="3" t="n">
        <v>16958</v>
      </c>
      <c r="L244" s="9" t="s">
        <v>358</v>
      </c>
      <c r="M244" s="3" t="s">
        <v>359</v>
      </c>
      <c r="N244" s="3" t="s">
        <v>360</v>
      </c>
    </row>
    <row r="245" customFormat="false" ht="15" hidden="false" customHeight="false" outlineLevel="0" collapsed="false">
      <c r="A245" s="2" t="n">
        <v>46360</v>
      </c>
      <c r="B245" s="3" t="n">
        <v>2026</v>
      </c>
      <c r="C245" s="3" t="n">
        <v>49</v>
      </c>
      <c r="D245" s="3" t="s">
        <v>381</v>
      </c>
      <c r="E245" s="3" t="s">
        <v>57</v>
      </c>
      <c r="F245" s="3" t="s">
        <v>382</v>
      </c>
      <c r="G245" s="3" t="s">
        <v>126</v>
      </c>
      <c r="H245" s="3" t="s">
        <v>127</v>
      </c>
      <c r="I245" s="3" t="s">
        <v>19</v>
      </c>
      <c r="J245" s="4" t="s">
        <v>20</v>
      </c>
      <c r="K245" s="3" t="n">
        <v>16958</v>
      </c>
      <c r="L245" s="9" t="s">
        <v>358</v>
      </c>
      <c r="M245" s="3" t="s">
        <v>359</v>
      </c>
      <c r="N245" s="3" t="s">
        <v>360</v>
      </c>
    </row>
    <row r="246" customFormat="false" ht="15" hidden="false" customHeight="false" outlineLevel="0" collapsed="false">
      <c r="A246" s="2" t="n">
        <v>46360</v>
      </c>
      <c r="B246" s="3" t="n">
        <v>2026</v>
      </c>
      <c r="C246" s="3" t="n">
        <v>49</v>
      </c>
      <c r="D246" s="3" t="s">
        <v>381</v>
      </c>
      <c r="E246" s="3" t="s">
        <v>57</v>
      </c>
      <c r="F246" s="3" t="s">
        <v>383</v>
      </c>
      <c r="G246" s="3" t="s">
        <v>65</v>
      </c>
      <c r="H246" s="3" t="s">
        <v>66</v>
      </c>
      <c r="I246" s="3" t="s">
        <v>66</v>
      </c>
      <c r="J246" s="5" t="s">
        <v>28</v>
      </c>
      <c r="K246" s="3"/>
      <c r="L246" s="7" t="s">
        <v>291</v>
      </c>
      <c r="M246" s="3" t="s">
        <v>384</v>
      </c>
      <c r="N246" s="3" t="s">
        <v>385</v>
      </c>
    </row>
    <row r="247" customFormat="false" ht="15" hidden="false" customHeight="false" outlineLevel="0" collapsed="false">
      <c r="A247" s="2" t="n">
        <v>46367</v>
      </c>
      <c r="B247" s="3" t="n">
        <v>2026</v>
      </c>
      <c r="C247" s="3" t="n">
        <v>50</v>
      </c>
      <c r="D247" s="3" t="s">
        <v>386</v>
      </c>
      <c r="E247" s="3" t="s">
        <v>57</v>
      </c>
      <c r="F247" s="3" t="s">
        <v>387</v>
      </c>
      <c r="G247" s="3" t="s">
        <v>126</v>
      </c>
      <c r="H247" s="3" t="s">
        <v>127</v>
      </c>
      <c r="I247" s="3" t="s">
        <v>19</v>
      </c>
      <c r="J247" s="4" t="s">
        <v>20</v>
      </c>
      <c r="K247" s="3" t="n">
        <v>16958</v>
      </c>
      <c r="L247" s="9" t="s">
        <v>358</v>
      </c>
      <c r="M247" s="3" t="s">
        <v>359</v>
      </c>
      <c r="N247" s="3" t="s">
        <v>360</v>
      </c>
    </row>
    <row r="248" customFormat="false" ht="15" hidden="false" customHeight="false" outlineLevel="0" collapsed="false">
      <c r="A248" s="2" t="n">
        <v>46369</v>
      </c>
      <c r="B248" s="3" t="n">
        <v>2026</v>
      </c>
      <c r="C248" s="3" t="n">
        <v>50</v>
      </c>
      <c r="D248" s="3" t="s">
        <v>386</v>
      </c>
      <c r="E248" s="3" t="s">
        <v>131</v>
      </c>
      <c r="F248" s="3" t="s">
        <v>388</v>
      </c>
      <c r="G248" s="3" t="s">
        <v>126</v>
      </c>
      <c r="H248" s="3" t="s">
        <v>127</v>
      </c>
      <c r="I248" s="3" t="s">
        <v>19</v>
      </c>
      <c r="J248" s="4" t="s">
        <v>20</v>
      </c>
      <c r="K248" s="3" t="n">
        <v>16958</v>
      </c>
      <c r="L248" s="9" t="s">
        <v>358</v>
      </c>
      <c r="M248" s="3" t="s">
        <v>359</v>
      </c>
      <c r="N248" s="3" t="s">
        <v>360</v>
      </c>
    </row>
    <row r="249" customFormat="false" ht="15" hidden="false" customHeight="false" outlineLevel="0" collapsed="false">
      <c r="A249" s="2" t="n">
        <v>46372</v>
      </c>
      <c r="B249" s="3" t="n">
        <v>2026</v>
      </c>
      <c r="C249" s="3" t="n">
        <v>51</v>
      </c>
      <c r="D249" s="3" t="s">
        <v>389</v>
      </c>
      <c r="E249" s="3" t="s">
        <v>63</v>
      </c>
      <c r="F249" s="3" t="s">
        <v>390</v>
      </c>
      <c r="G249" s="3" t="s">
        <v>126</v>
      </c>
      <c r="H249" s="3" t="s">
        <v>127</v>
      </c>
      <c r="I249" s="3" t="s">
        <v>19</v>
      </c>
      <c r="J249" s="4" t="s">
        <v>20</v>
      </c>
      <c r="K249" s="3" t="n">
        <v>16958</v>
      </c>
      <c r="L249" s="9" t="s">
        <v>358</v>
      </c>
      <c r="M249" s="3" t="s">
        <v>359</v>
      </c>
      <c r="N249" s="3" t="s">
        <v>360</v>
      </c>
    </row>
    <row r="250" customFormat="false" ht="15" hidden="false" customHeight="false" outlineLevel="0" collapsed="false">
      <c r="A250" s="2" t="n">
        <v>46374</v>
      </c>
      <c r="B250" s="3" t="n">
        <v>2026</v>
      </c>
      <c r="C250" s="3" t="n">
        <v>51</v>
      </c>
      <c r="D250" s="3" t="s">
        <v>389</v>
      </c>
      <c r="E250" s="3" t="s">
        <v>57</v>
      </c>
      <c r="F250" s="3" t="s">
        <v>391</v>
      </c>
      <c r="G250" s="3" t="s">
        <v>126</v>
      </c>
      <c r="H250" s="3" t="s">
        <v>127</v>
      </c>
      <c r="I250" s="3" t="s">
        <v>19</v>
      </c>
      <c r="J250" s="4" t="s">
        <v>20</v>
      </c>
      <c r="K250" s="3" t="n">
        <v>16958</v>
      </c>
      <c r="L250" s="9" t="s">
        <v>358</v>
      </c>
      <c r="M250" s="3" t="s">
        <v>359</v>
      </c>
      <c r="N250" s="3" t="s">
        <v>360</v>
      </c>
    </row>
    <row r="251" customFormat="false" ht="15" hidden="false" customHeight="false" outlineLevel="0" collapsed="false">
      <c r="A251" s="2" t="n">
        <v>46384</v>
      </c>
      <c r="B251" s="3" t="n">
        <v>2026</v>
      </c>
      <c r="C251" s="3" t="n">
        <v>53</v>
      </c>
      <c r="D251" s="3" t="s">
        <v>392</v>
      </c>
      <c r="E251" s="3" t="s">
        <v>108</v>
      </c>
      <c r="F251" s="3" t="s">
        <v>393</v>
      </c>
      <c r="G251" s="3" t="s">
        <v>126</v>
      </c>
      <c r="H251" s="3" t="s">
        <v>127</v>
      </c>
      <c r="I251" s="3" t="s">
        <v>19</v>
      </c>
      <c r="J251" s="4" t="s">
        <v>20</v>
      </c>
      <c r="K251" s="3" t="n">
        <v>16958</v>
      </c>
      <c r="L251" s="9" t="s">
        <v>358</v>
      </c>
      <c r="M251" s="3" t="s">
        <v>359</v>
      </c>
      <c r="N251" s="3" t="s">
        <v>360</v>
      </c>
    </row>
    <row r="252" customFormat="false" ht="15" hidden="false" customHeight="false" outlineLevel="0" collapsed="false">
      <c r="A252" s="2" t="n">
        <v>46387</v>
      </c>
      <c r="B252" s="3" t="n">
        <v>2026</v>
      </c>
      <c r="C252" s="3" t="n">
        <v>53</v>
      </c>
      <c r="D252" s="3" t="s">
        <v>392</v>
      </c>
      <c r="E252" s="3" t="s">
        <v>24</v>
      </c>
      <c r="F252" s="3" t="s">
        <v>357</v>
      </c>
      <c r="G252" s="3" t="s">
        <v>126</v>
      </c>
      <c r="H252" s="3" t="s">
        <v>127</v>
      </c>
      <c r="I252" s="3" t="s">
        <v>19</v>
      </c>
      <c r="J252" s="4" t="s">
        <v>20</v>
      </c>
      <c r="K252" s="3" t="n">
        <v>16958</v>
      </c>
      <c r="L252" s="9" t="s">
        <v>358</v>
      </c>
      <c r="M252" s="3" t="s">
        <v>359</v>
      </c>
      <c r="N252" s="3" t="s">
        <v>360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false" outlineLevel="0" max="9" min="9" style="0" width="20"/>
    <col collapsed="false" customWidth="true" hidden="false" outlineLevel="0" max="10" min="10" style="0" width="22"/>
  </cols>
  <sheetData>
    <row r="1" customFormat="false" ht="23.85" hidden="false" customHeight="false" outlineLevel="0" collapsed="false">
      <c r="A1" s="1" t="s">
        <v>2</v>
      </c>
      <c r="B1" s="1" t="s">
        <v>394</v>
      </c>
      <c r="C1" s="1" t="s">
        <v>395</v>
      </c>
      <c r="D1" s="1" t="s">
        <v>396</v>
      </c>
      <c r="E1" s="1" t="s">
        <v>397</v>
      </c>
      <c r="F1" s="1" t="s">
        <v>398</v>
      </c>
      <c r="G1" s="1" t="s">
        <v>399</v>
      </c>
      <c r="H1" s="1" t="s">
        <v>400</v>
      </c>
      <c r="I1" s="1" t="s">
        <v>401</v>
      </c>
      <c r="J1" s="1" t="s">
        <v>402</v>
      </c>
    </row>
    <row r="2" customFormat="false" ht="15" hidden="false" customHeight="false" outlineLevel="0" collapsed="false">
      <c r="A2" s="3" t="n">
        <v>1</v>
      </c>
      <c r="B2" s="3" t="n">
        <f aca="false">COUNTIFS(Events!$B$2:$B$252,2024,Events!$C$2:$C$252,1)</f>
        <v>0</v>
      </c>
      <c r="C2" s="10" t="n">
        <f aca="false">SUMIFS(Events!$K$2:$K$252,Events!$B$2:$B$252,2024,Events!$C$2:$C$252,1)</f>
        <v>0</v>
      </c>
      <c r="D2" s="3" t="n">
        <f aca="false">COUNTIFS(Events!$B$2:$B$252,2025,Events!$C$2:$C$252,1)</f>
        <v>3</v>
      </c>
      <c r="E2" s="10" t="n">
        <f aca="false">SUMIFS(Events!$K$2:$K$252,Events!$B$2:$B$252,2025,Events!$C$2:$C$252,1)</f>
        <v>54617</v>
      </c>
      <c r="F2" s="3" t="n">
        <f aca="false">COUNTIFS(Events!$B$2:$B$252,2026,Events!$C$2:$C$252,1)</f>
        <v>3</v>
      </c>
      <c r="G2" s="10" t="n">
        <f aca="false">SUMIFS(Events!$K$2:$K$252,Events!$B$2:$B$252,2026,Events!$C$2:$C$252,1)</f>
        <v>54184</v>
      </c>
      <c r="H2" s="3"/>
      <c r="I2" s="3" t="n">
        <f aca="false">F2-D2</f>
        <v>0</v>
      </c>
      <c r="J2" s="10" t="n">
        <f aca="false">G2-E2</f>
        <v>-433</v>
      </c>
    </row>
    <row r="3" customFormat="false" ht="15" hidden="false" customHeight="false" outlineLevel="0" collapsed="false">
      <c r="A3" s="3" t="n">
        <v>2</v>
      </c>
      <c r="B3" s="3" t="n">
        <f aca="false">COUNTIFS(Events!$B$2:$B$252,2024,Events!$C$2:$C$252,2)</f>
        <v>0</v>
      </c>
      <c r="C3" s="10" t="n">
        <f aca="false">SUMIFS(Events!$K$2:$K$252,Events!$B$2:$B$252,2024,Events!$C$2:$C$252,2)</f>
        <v>0</v>
      </c>
      <c r="D3" s="3" t="n">
        <f aca="false">COUNTIFS(Events!$B$2:$B$252,2025,Events!$C$2:$C$252,2)</f>
        <v>1</v>
      </c>
      <c r="E3" s="10" t="n">
        <f aca="false">SUMIFS(Events!$K$2:$K$252,Events!$B$2:$B$252,2025,Events!$C$2:$C$252,2)</f>
        <v>15497</v>
      </c>
      <c r="F3" s="3" t="n">
        <f aca="false">COUNTIFS(Events!$B$2:$B$252,2026,Events!$C$2:$C$252,2)</f>
        <v>0</v>
      </c>
      <c r="G3" s="10" t="n">
        <f aca="false">SUMIFS(Events!$K$2:$K$252,Events!$B$2:$B$252,2026,Events!$C$2:$C$252,2)</f>
        <v>0</v>
      </c>
      <c r="H3" s="3" t="n">
        <f aca="false">F3-F2</f>
        <v>-3</v>
      </c>
      <c r="I3" s="3" t="n">
        <f aca="false">F3-D3</f>
        <v>-1</v>
      </c>
      <c r="J3" s="10" t="n">
        <f aca="false">G3-E3</f>
        <v>-15497</v>
      </c>
    </row>
    <row r="4" customFormat="false" ht="15" hidden="false" customHeight="false" outlineLevel="0" collapsed="false">
      <c r="A4" s="3" t="n">
        <v>3</v>
      </c>
      <c r="B4" s="3" t="n">
        <f aca="false">COUNTIFS(Events!$B$2:$B$252,2024,Events!$C$2:$C$252,3)</f>
        <v>0</v>
      </c>
      <c r="C4" s="10" t="n">
        <f aca="false">SUMIFS(Events!$K$2:$K$252,Events!$B$2:$B$252,2024,Events!$C$2:$C$252,3)</f>
        <v>0</v>
      </c>
      <c r="D4" s="3" t="n">
        <f aca="false">COUNTIFS(Events!$B$2:$B$252,2025,Events!$C$2:$C$252,3)</f>
        <v>2</v>
      </c>
      <c r="E4" s="10" t="n">
        <f aca="false">SUMIFS(Events!$K$2:$K$252,Events!$B$2:$B$252,2025,Events!$C$2:$C$252,3)</f>
        <v>30961</v>
      </c>
      <c r="F4" s="3" t="n">
        <f aca="false">COUNTIFS(Events!$B$2:$B$252,2026,Events!$C$2:$C$252,3)</f>
        <v>2</v>
      </c>
      <c r="G4" s="10" t="n">
        <f aca="false">SUMIFS(Events!$K$2:$K$252,Events!$B$2:$B$252,2026,Events!$C$2:$C$252,3)</f>
        <v>28303</v>
      </c>
      <c r="H4" s="3" t="n">
        <f aca="false">F4-F3</f>
        <v>2</v>
      </c>
      <c r="I4" s="3" t="n">
        <f aca="false">F4-D4</f>
        <v>0</v>
      </c>
      <c r="J4" s="10" t="n">
        <f aca="false">G4-E4</f>
        <v>-2658</v>
      </c>
    </row>
    <row r="5" customFormat="false" ht="15" hidden="false" customHeight="false" outlineLevel="0" collapsed="false">
      <c r="A5" s="3" t="n">
        <v>4</v>
      </c>
      <c r="B5" s="3" t="n">
        <f aca="false">COUNTIFS(Events!$B$2:$B$252,2024,Events!$C$2:$C$252,4)</f>
        <v>0</v>
      </c>
      <c r="C5" s="10" t="n">
        <f aca="false">SUMIFS(Events!$K$2:$K$252,Events!$B$2:$B$252,2024,Events!$C$2:$C$252,4)</f>
        <v>0</v>
      </c>
      <c r="D5" s="3" t="n">
        <f aca="false">COUNTIFS(Events!$B$2:$B$252,2025,Events!$C$2:$C$252,4)</f>
        <v>1</v>
      </c>
      <c r="E5" s="10" t="n">
        <f aca="false">SUMIFS(Events!$K$2:$K$252,Events!$B$2:$B$252,2025,Events!$C$2:$C$252,4)</f>
        <v>18919</v>
      </c>
      <c r="F5" s="3" t="n">
        <f aca="false">COUNTIFS(Events!$B$2:$B$252,2026,Events!$C$2:$C$252,4)</f>
        <v>5</v>
      </c>
      <c r="G5" s="10" t="n">
        <f aca="false">SUMIFS(Events!$K$2:$K$252,Events!$B$2:$B$252,2026,Events!$C$2:$C$252,4)</f>
        <v>44502</v>
      </c>
      <c r="H5" s="3" t="n">
        <f aca="false">F5-F4</f>
        <v>3</v>
      </c>
      <c r="I5" s="3" t="n">
        <f aca="false">F5-D5</f>
        <v>4</v>
      </c>
      <c r="J5" s="10" t="n">
        <f aca="false">G5-E5</f>
        <v>25583</v>
      </c>
    </row>
    <row r="6" customFormat="false" ht="15" hidden="false" customHeight="false" outlineLevel="0" collapsed="false">
      <c r="A6" s="3" t="n">
        <v>5</v>
      </c>
      <c r="B6" s="3" t="n">
        <f aca="false">COUNTIFS(Events!$B$2:$B$252,2024,Events!$C$2:$C$252,5)</f>
        <v>0</v>
      </c>
      <c r="C6" s="10" t="n">
        <f aca="false">SUMIFS(Events!$K$2:$K$252,Events!$B$2:$B$252,2024,Events!$C$2:$C$252,5)</f>
        <v>0</v>
      </c>
      <c r="D6" s="3" t="n">
        <f aca="false">COUNTIFS(Events!$B$2:$B$252,2025,Events!$C$2:$C$252,5)</f>
        <v>0</v>
      </c>
      <c r="E6" s="10" t="n">
        <f aca="false">SUMIFS(Events!$K$2:$K$252,Events!$B$2:$B$252,2025,Events!$C$2:$C$252,5)</f>
        <v>0</v>
      </c>
      <c r="F6" s="3" t="n">
        <f aca="false">COUNTIFS(Events!$B$2:$B$252,2026,Events!$C$2:$C$252,5)</f>
        <v>1</v>
      </c>
      <c r="G6" s="10" t="n">
        <f aca="false">SUMIFS(Events!$K$2:$K$252,Events!$B$2:$B$252,2026,Events!$C$2:$C$252,5)</f>
        <v>15244</v>
      </c>
      <c r="H6" s="3" t="n">
        <f aca="false">F6-F5</f>
        <v>-4</v>
      </c>
      <c r="I6" s="3" t="n">
        <f aca="false">F6-D6</f>
        <v>1</v>
      </c>
      <c r="J6" s="10" t="n">
        <f aca="false">G6-E6</f>
        <v>15244</v>
      </c>
    </row>
    <row r="7" customFormat="false" ht="15" hidden="false" customHeight="false" outlineLevel="0" collapsed="false">
      <c r="A7" s="3" t="n">
        <v>6</v>
      </c>
      <c r="B7" s="3" t="n">
        <f aca="false">COUNTIFS(Events!$B$2:$B$252,2024,Events!$C$2:$C$252,6)</f>
        <v>0</v>
      </c>
      <c r="C7" s="10" t="n">
        <f aca="false">SUMIFS(Events!$K$2:$K$252,Events!$B$2:$B$252,2024,Events!$C$2:$C$252,6)</f>
        <v>0</v>
      </c>
      <c r="D7" s="3" t="n">
        <f aca="false">COUNTIFS(Events!$B$2:$B$252,2025,Events!$C$2:$C$252,6)</f>
        <v>2</v>
      </c>
      <c r="E7" s="10" t="n">
        <f aca="false">SUMIFS(Events!$K$2:$K$252,Events!$B$2:$B$252,2025,Events!$C$2:$C$252,6)</f>
        <v>37308</v>
      </c>
      <c r="F7" s="3" t="n">
        <f aca="false">COUNTIFS(Events!$B$2:$B$252,2026,Events!$C$2:$C$252,6)</f>
        <v>3</v>
      </c>
      <c r="G7" s="10" t="n">
        <f aca="false">SUMIFS(Events!$K$2:$K$252,Events!$B$2:$B$252,2026,Events!$C$2:$C$252,6)</f>
        <v>18575</v>
      </c>
      <c r="H7" s="3" t="n">
        <f aca="false">F7-F6</f>
        <v>2</v>
      </c>
      <c r="I7" s="3" t="n">
        <f aca="false">F7-D7</f>
        <v>1</v>
      </c>
      <c r="J7" s="10" t="n">
        <f aca="false">G7-E7</f>
        <v>-18733</v>
      </c>
    </row>
    <row r="8" customFormat="false" ht="15" hidden="false" customHeight="false" outlineLevel="0" collapsed="false">
      <c r="A8" s="3" t="n">
        <v>7</v>
      </c>
      <c r="B8" s="3" t="n">
        <f aca="false">COUNTIFS(Events!$B$2:$B$252,2024,Events!$C$2:$C$252,7)</f>
        <v>0</v>
      </c>
      <c r="C8" s="10" t="n">
        <f aca="false">SUMIFS(Events!$K$2:$K$252,Events!$B$2:$B$252,2024,Events!$C$2:$C$252,7)</f>
        <v>0</v>
      </c>
      <c r="D8" s="3" t="n">
        <f aca="false">COUNTIFS(Events!$B$2:$B$252,2025,Events!$C$2:$C$252,7)</f>
        <v>0</v>
      </c>
      <c r="E8" s="10" t="n">
        <f aca="false">SUMIFS(Events!$K$2:$K$252,Events!$B$2:$B$252,2025,Events!$C$2:$C$252,7)</f>
        <v>0</v>
      </c>
      <c r="F8" s="3" t="n">
        <f aca="false">COUNTIFS(Events!$B$2:$B$252,2026,Events!$C$2:$C$252,7)</f>
        <v>0</v>
      </c>
      <c r="G8" s="10" t="n">
        <f aca="false">SUMIFS(Events!$K$2:$K$252,Events!$B$2:$B$252,2026,Events!$C$2:$C$252,7)</f>
        <v>0</v>
      </c>
      <c r="H8" s="3" t="n">
        <f aca="false">F8-F7</f>
        <v>-3</v>
      </c>
      <c r="I8" s="3" t="n">
        <f aca="false">F8-D8</f>
        <v>0</v>
      </c>
      <c r="J8" s="10" t="n">
        <f aca="false">G8-E8</f>
        <v>0</v>
      </c>
    </row>
    <row r="9" customFormat="false" ht="15" hidden="false" customHeight="false" outlineLevel="0" collapsed="false">
      <c r="A9" s="3" t="n">
        <v>8</v>
      </c>
      <c r="B9" s="3" t="n">
        <f aca="false">COUNTIFS(Events!$B$2:$B$252,2024,Events!$C$2:$C$252,8)</f>
        <v>1</v>
      </c>
      <c r="C9" s="10" t="n">
        <f aca="false">SUMIFS(Events!$K$2:$K$252,Events!$B$2:$B$252,2024,Events!$C$2:$C$252,8)</f>
        <v>20406</v>
      </c>
      <c r="D9" s="3" t="n">
        <f aca="false">COUNTIFS(Events!$B$2:$B$252,2025,Events!$C$2:$C$252,8)</f>
        <v>2</v>
      </c>
      <c r="E9" s="10" t="n">
        <f aca="false">SUMIFS(Events!$K$2:$K$252,Events!$B$2:$B$252,2025,Events!$C$2:$C$252,8)</f>
        <v>39019</v>
      </c>
      <c r="F9" s="3" t="n">
        <f aca="false">COUNTIFS(Events!$B$2:$B$252,2026,Events!$C$2:$C$252,8)</f>
        <v>3</v>
      </c>
      <c r="G9" s="10" t="n">
        <f aca="false">SUMIFS(Events!$K$2:$K$252,Events!$B$2:$B$252,2026,Events!$C$2:$C$252,8)</f>
        <v>0</v>
      </c>
      <c r="H9" s="3" t="n">
        <f aca="false">F9-F8</f>
        <v>3</v>
      </c>
      <c r="I9" s="3" t="n">
        <f aca="false">F9-D9</f>
        <v>1</v>
      </c>
      <c r="J9" s="10" t="n">
        <f aca="false">G9-E9</f>
        <v>-39019</v>
      </c>
    </row>
    <row r="10" customFormat="false" ht="15" hidden="false" customHeight="false" outlineLevel="0" collapsed="false">
      <c r="A10" s="3" t="n">
        <v>9</v>
      </c>
      <c r="B10" s="3" t="n">
        <f aca="false">COUNTIFS(Events!$B$2:$B$252,2024,Events!$C$2:$C$252,9)</f>
        <v>1</v>
      </c>
      <c r="C10" s="10" t="n">
        <f aca="false">SUMIFS(Events!$K$2:$K$252,Events!$B$2:$B$252,2024,Events!$C$2:$C$252,9)</f>
        <v>200000</v>
      </c>
      <c r="D10" s="3" t="n">
        <f aca="false">COUNTIFS(Events!$B$2:$B$252,2025,Events!$C$2:$C$252,9)</f>
        <v>3</v>
      </c>
      <c r="E10" s="10" t="n">
        <f aca="false">SUMIFS(Events!$K$2:$K$252,Events!$B$2:$B$252,2025,Events!$C$2:$C$252,9)</f>
        <v>311648</v>
      </c>
      <c r="F10" s="3" t="n">
        <f aca="false">COUNTIFS(Events!$B$2:$B$252,2026,Events!$C$2:$C$252,9)</f>
        <v>1</v>
      </c>
      <c r="G10" s="10" t="n">
        <f aca="false">SUMIFS(Events!$K$2:$K$252,Events!$B$2:$B$252,2026,Events!$C$2:$C$252,9)</f>
        <v>18925</v>
      </c>
      <c r="H10" s="3" t="n">
        <f aca="false">F10-F9</f>
        <v>-2</v>
      </c>
      <c r="I10" s="3" t="n">
        <f aca="false">F10-D10</f>
        <v>-2</v>
      </c>
      <c r="J10" s="10" t="n">
        <f aca="false">G10-E10</f>
        <v>-292723</v>
      </c>
    </row>
    <row r="11" customFormat="false" ht="15" hidden="false" customHeight="false" outlineLevel="0" collapsed="false">
      <c r="A11" s="3" t="n">
        <v>10</v>
      </c>
      <c r="B11" s="3" t="n">
        <f aca="false">COUNTIFS(Events!$B$2:$B$252,2024,Events!$C$2:$C$252,10)</f>
        <v>1</v>
      </c>
      <c r="C11" s="10" t="n">
        <f aca="false">SUMIFS(Events!$K$2:$K$252,Events!$B$2:$B$252,2024,Events!$C$2:$C$252,10)</f>
        <v>20327</v>
      </c>
      <c r="D11" s="3" t="n">
        <f aca="false">COUNTIFS(Events!$B$2:$B$252,2025,Events!$C$2:$C$252,10)</f>
        <v>1</v>
      </c>
      <c r="E11" s="10" t="n">
        <f aca="false">SUMIFS(Events!$K$2:$K$252,Events!$B$2:$B$252,2025,Events!$C$2:$C$252,10)</f>
        <v>20231</v>
      </c>
      <c r="F11" s="3" t="n">
        <f aca="false">COUNTIFS(Events!$B$2:$B$252,2026,Events!$C$2:$C$252,10)</f>
        <v>7</v>
      </c>
      <c r="G11" s="10" t="n">
        <f aca="false">SUMIFS(Events!$K$2:$K$252,Events!$B$2:$B$252,2026,Events!$C$2:$C$252,10)</f>
        <v>271984</v>
      </c>
      <c r="H11" s="3" t="n">
        <f aca="false">F11-F10</f>
        <v>6</v>
      </c>
      <c r="I11" s="3" t="n">
        <f aca="false">F11-D11</f>
        <v>6</v>
      </c>
      <c r="J11" s="10" t="n">
        <f aca="false">G11-E11</f>
        <v>251753</v>
      </c>
    </row>
    <row r="12" customFormat="false" ht="15" hidden="false" customHeight="false" outlineLevel="0" collapsed="false">
      <c r="A12" s="3" t="n">
        <v>11</v>
      </c>
      <c r="B12" s="3" t="n">
        <f aca="false">COUNTIFS(Events!$B$2:$B$252,2024,Events!$C$2:$C$252,11)</f>
        <v>1</v>
      </c>
      <c r="C12" s="10" t="n">
        <f aca="false">SUMIFS(Events!$K$2:$K$252,Events!$B$2:$B$252,2024,Events!$C$2:$C$252,11)</f>
        <v>20314</v>
      </c>
      <c r="D12" s="3" t="n">
        <f aca="false">COUNTIFS(Events!$B$2:$B$252,2025,Events!$C$2:$C$252,11)</f>
        <v>2</v>
      </c>
      <c r="E12" s="10" t="n">
        <f aca="false">SUMIFS(Events!$K$2:$K$252,Events!$B$2:$B$252,2025,Events!$C$2:$C$252,11)</f>
        <v>37287</v>
      </c>
      <c r="F12" s="3" t="n">
        <f aca="false">COUNTIFS(Events!$B$2:$B$252,2026,Events!$C$2:$C$252,11)</f>
        <v>2</v>
      </c>
      <c r="G12" s="10" t="n">
        <f aca="false">SUMIFS(Events!$K$2:$K$252,Events!$B$2:$B$252,2026,Events!$C$2:$C$252,11)</f>
        <v>34798</v>
      </c>
      <c r="H12" s="3" t="n">
        <f aca="false">F12-F11</f>
        <v>-5</v>
      </c>
      <c r="I12" s="3" t="n">
        <f aca="false">F12-D12</f>
        <v>0</v>
      </c>
      <c r="J12" s="10" t="n">
        <f aca="false">G12-E12</f>
        <v>-2489</v>
      </c>
    </row>
    <row r="13" customFormat="false" ht="15" hidden="false" customHeight="false" outlineLevel="0" collapsed="false">
      <c r="A13" s="3" t="n">
        <v>12</v>
      </c>
      <c r="B13" s="3" t="n">
        <f aca="false">COUNTIFS(Events!$B$2:$B$252,2024,Events!$C$2:$C$252,12)</f>
        <v>0</v>
      </c>
      <c r="C13" s="10" t="n">
        <f aca="false">SUMIFS(Events!$K$2:$K$252,Events!$B$2:$B$252,2024,Events!$C$2:$C$252,12)</f>
        <v>0</v>
      </c>
      <c r="D13" s="3" t="n">
        <f aca="false">COUNTIFS(Events!$B$2:$B$252,2025,Events!$C$2:$C$252,12)</f>
        <v>3</v>
      </c>
      <c r="E13" s="10" t="n">
        <f aca="false">SUMIFS(Events!$K$2:$K$252,Events!$B$2:$B$252,2025,Events!$C$2:$C$252,12)</f>
        <v>53700</v>
      </c>
      <c r="F13" s="3" t="n">
        <f aca="false">COUNTIFS(Events!$B$2:$B$252,2026,Events!$C$2:$C$252,12)</f>
        <v>4</v>
      </c>
      <c r="G13" s="10" t="n">
        <f aca="false">SUMIFS(Events!$K$2:$K$252,Events!$B$2:$B$252,2026,Events!$C$2:$C$252,12)</f>
        <v>50849</v>
      </c>
      <c r="H13" s="3" t="n">
        <f aca="false">F13-F12</f>
        <v>2</v>
      </c>
      <c r="I13" s="3" t="n">
        <f aca="false">F13-D13</f>
        <v>1</v>
      </c>
      <c r="J13" s="10" t="n">
        <f aca="false">G13-E13</f>
        <v>-2851</v>
      </c>
    </row>
    <row r="14" customFormat="false" ht="15" hidden="false" customHeight="false" outlineLevel="0" collapsed="false">
      <c r="A14" s="3" t="n">
        <v>13</v>
      </c>
      <c r="B14" s="3" t="n">
        <f aca="false">COUNTIFS(Events!$B$2:$B$252,2024,Events!$C$2:$C$252,13)</f>
        <v>0</v>
      </c>
      <c r="C14" s="10" t="n">
        <f aca="false">SUMIFS(Events!$K$2:$K$252,Events!$B$2:$B$252,2024,Events!$C$2:$C$252,13)</f>
        <v>0</v>
      </c>
      <c r="D14" s="3" t="n">
        <f aca="false">COUNTIFS(Events!$B$2:$B$252,2025,Events!$C$2:$C$252,13)</f>
        <v>1</v>
      </c>
      <c r="E14" s="10" t="n">
        <f aca="false">SUMIFS(Events!$K$2:$K$252,Events!$B$2:$B$252,2025,Events!$C$2:$C$252,13)</f>
        <v>18586</v>
      </c>
      <c r="F14" s="3" t="n">
        <f aca="false">COUNTIFS(Events!$B$2:$B$252,2026,Events!$C$2:$C$252,13)</f>
        <v>2</v>
      </c>
      <c r="G14" s="10" t="n">
        <f aca="false">SUMIFS(Events!$K$2:$K$252,Events!$B$2:$B$252,2026,Events!$C$2:$C$252,13)</f>
        <v>37558</v>
      </c>
      <c r="H14" s="3" t="n">
        <f aca="false">F14-F13</f>
        <v>-2</v>
      </c>
      <c r="I14" s="3" t="n">
        <f aca="false">F14-D14</f>
        <v>1</v>
      </c>
      <c r="J14" s="10" t="n">
        <f aca="false">G14-E14</f>
        <v>18972</v>
      </c>
    </row>
    <row r="15" customFormat="false" ht="15" hidden="false" customHeight="false" outlineLevel="0" collapsed="false">
      <c r="A15" s="3" t="n">
        <v>14</v>
      </c>
      <c r="B15" s="3" t="n">
        <f aca="false">COUNTIFS(Events!$B$2:$B$252,2024,Events!$C$2:$C$252,14)</f>
        <v>2</v>
      </c>
      <c r="C15" s="10" t="n">
        <f aca="false">SUMIFS(Events!$K$2:$K$252,Events!$B$2:$B$252,2024,Events!$C$2:$C$252,14)</f>
        <v>20740</v>
      </c>
      <c r="D15" s="3" t="n">
        <f aca="false">COUNTIFS(Events!$B$2:$B$252,2025,Events!$C$2:$C$252,14)</f>
        <v>4</v>
      </c>
      <c r="E15" s="10" t="n">
        <f aca="false">SUMIFS(Events!$K$2:$K$252,Events!$B$2:$B$252,2025,Events!$C$2:$C$252,14)</f>
        <v>53668</v>
      </c>
      <c r="F15" s="3" t="n">
        <f aca="false">COUNTIFS(Events!$B$2:$B$252,2026,Events!$C$2:$C$252,14)</f>
        <v>3</v>
      </c>
      <c r="G15" s="10" t="n">
        <f aca="false">SUMIFS(Events!$K$2:$K$252,Events!$B$2:$B$252,2026,Events!$C$2:$C$252,14)</f>
        <v>36565</v>
      </c>
      <c r="H15" s="3" t="n">
        <f aca="false">F15-F14</f>
        <v>1</v>
      </c>
      <c r="I15" s="3" t="n">
        <f aca="false">F15-D15</f>
        <v>-1</v>
      </c>
      <c r="J15" s="10" t="n">
        <f aca="false">G15-E15</f>
        <v>-17103</v>
      </c>
    </row>
    <row r="16" customFormat="false" ht="15" hidden="false" customHeight="false" outlineLevel="0" collapsed="false">
      <c r="A16" s="3" t="n">
        <v>15</v>
      </c>
      <c r="B16" s="3" t="n">
        <f aca="false">COUNTIFS(Events!$B$2:$B$252,2024,Events!$C$2:$C$252,15)</f>
        <v>0</v>
      </c>
      <c r="C16" s="10" t="n">
        <f aca="false">SUMIFS(Events!$K$2:$K$252,Events!$B$2:$B$252,2024,Events!$C$2:$C$252,15)</f>
        <v>0</v>
      </c>
      <c r="D16" s="3" t="n">
        <f aca="false">COUNTIFS(Events!$B$2:$B$252,2025,Events!$C$2:$C$252,15)</f>
        <v>3</v>
      </c>
      <c r="E16" s="10" t="n">
        <f aca="false">SUMIFS(Events!$K$2:$K$252,Events!$B$2:$B$252,2025,Events!$C$2:$C$252,15)</f>
        <v>50239</v>
      </c>
      <c r="F16" s="3" t="n">
        <f aca="false">COUNTIFS(Events!$B$2:$B$252,2026,Events!$C$2:$C$252,15)</f>
        <v>2</v>
      </c>
      <c r="G16" s="10" t="n">
        <f aca="false">SUMIFS(Events!$K$2:$K$252,Events!$B$2:$B$252,2026,Events!$C$2:$C$252,15)</f>
        <v>38366</v>
      </c>
      <c r="H16" s="3" t="n">
        <f aca="false">F16-F15</f>
        <v>-1</v>
      </c>
      <c r="I16" s="3" t="n">
        <f aca="false">F16-D16</f>
        <v>-1</v>
      </c>
      <c r="J16" s="10" t="n">
        <f aca="false">G16-E16</f>
        <v>-11873</v>
      </c>
    </row>
    <row r="17" customFormat="false" ht="15" hidden="false" customHeight="false" outlineLevel="0" collapsed="false">
      <c r="A17" s="3" t="n">
        <v>16</v>
      </c>
      <c r="B17" s="3" t="n">
        <f aca="false">COUNTIFS(Events!$B$2:$B$252,2024,Events!$C$2:$C$252,16)</f>
        <v>2</v>
      </c>
      <c r="C17" s="10" t="n">
        <f aca="false">SUMIFS(Events!$K$2:$K$252,Events!$B$2:$B$252,2024,Events!$C$2:$C$252,16)</f>
        <v>20614</v>
      </c>
      <c r="D17" s="3" t="n">
        <f aca="false">COUNTIFS(Events!$B$2:$B$252,2025,Events!$C$2:$C$252,16)</f>
        <v>2</v>
      </c>
      <c r="E17" s="10" t="n">
        <f aca="false">SUMIFS(Events!$K$2:$K$252,Events!$B$2:$B$252,2025,Events!$C$2:$C$252,16)</f>
        <v>79488</v>
      </c>
      <c r="F17" s="3" t="n">
        <f aca="false">COUNTIFS(Events!$B$2:$B$252,2026,Events!$C$2:$C$252,16)</f>
        <v>3</v>
      </c>
      <c r="G17" s="10" t="n">
        <f aca="false">SUMIFS(Events!$K$2:$K$252,Events!$B$2:$B$252,2026,Events!$C$2:$C$252,16)</f>
        <v>18244</v>
      </c>
      <c r="H17" s="3" t="n">
        <f aca="false">F17-F16</f>
        <v>1</v>
      </c>
      <c r="I17" s="3" t="n">
        <f aca="false">F17-D17</f>
        <v>1</v>
      </c>
      <c r="J17" s="10" t="n">
        <f aca="false">G17-E17</f>
        <v>-61244</v>
      </c>
    </row>
    <row r="18" customFormat="false" ht="15" hidden="false" customHeight="false" outlineLevel="0" collapsed="false">
      <c r="A18" s="3" t="n">
        <v>17</v>
      </c>
      <c r="B18" s="3" t="n">
        <f aca="false">COUNTIFS(Events!$B$2:$B$252,2024,Events!$C$2:$C$252,17)</f>
        <v>1</v>
      </c>
      <c r="C18" s="10" t="n">
        <f aca="false">SUMIFS(Events!$K$2:$K$252,Events!$B$2:$B$252,2024,Events!$C$2:$C$252,17)</f>
        <v>20927</v>
      </c>
      <c r="D18" s="3" t="n">
        <f aca="false">COUNTIFS(Events!$B$2:$B$252,2025,Events!$C$2:$C$252,17)</f>
        <v>1</v>
      </c>
      <c r="E18" s="10" t="n">
        <f aca="false">SUMIFS(Events!$K$2:$K$252,Events!$B$2:$B$252,2025,Events!$C$2:$C$252,17)</f>
        <v>20737</v>
      </c>
      <c r="F18" s="3" t="n">
        <f aca="false">COUNTIFS(Events!$B$2:$B$252,2026,Events!$C$2:$C$252,17)</f>
        <v>2</v>
      </c>
      <c r="G18" s="10" t="n">
        <f aca="false">SUMIFS(Events!$K$2:$K$252,Events!$B$2:$B$252,2026,Events!$C$2:$C$252,17)</f>
        <v>38952</v>
      </c>
      <c r="H18" s="3" t="n">
        <f aca="false">F18-F17</f>
        <v>-1</v>
      </c>
      <c r="I18" s="3" t="n">
        <f aca="false">F18-D18</f>
        <v>1</v>
      </c>
      <c r="J18" s="10" t="n">
        <f aca="false">G18-E18</f>
        <v>18215</v>
      </c>
    </row>
    <row r="19" customFormat="false" ht="15" hidden="false" customHeight="false" outlineLevel="0" collapsed="false">
      <c r="A19" s="3" t="n">
        <v>18</v>
      </c>
      <c r="B19" s="3" t="n">
        <f aca="false">COUNTIFS(Events!$B$2:$B$252,2024,Events!$C$2:$C$252,18)</f>
        <v>1</v>
      </c>
      <c r="C19" s="10" t="n">
        <f aca="false">SUMIFS(Events!$K$2:$K$252,Events!$B$2:$B$252,2024,Events!$C$2:$C$252,18)</f>
        <v>0</v>
      </c>
      <c r="D19" s="3" t="n">
        <f aca="false">COUNTIFS(Events!$B$2:$B$252,2025,Events!$C$2:$C$252,18)</f>
        <v>1</v>
      </c>
      <c r="E19" s="10" t="n">
        <f aca="false">SUMIFS(Events!$K$2:$K$252,Events!$B$2:$B$252,2025,Events!$C$2:$C$252,18)</f>
        <v>20167</v>
      </c>
      <c r="F19" s="3" t="n">
        <f aca="false">COUNTIFS(Events!$B$2:$B$252,2026,Events!$C$2:$C$252,18)</f>
        <v>3</v>
      </c>
      <c r="G19" s="10" t="n">
        <f aca="false">SUMIFS(Events!$K$2:$K$252,Events!$B$2:$B$252,2026,Events!$C$2:$C$252,18)</f>
        <v>18904</v>
      </c>
      <c r="H19" s="3" t="n">
        <f aca="false">F19-F18</f>
        <v>1</v>
      </c>
      <c r="I19" s="3" t="n">
        <f aca="false">F19-D19</f>
        <v>2</v>
      </c>
      <c r="J19" s="10" t="n">
        <f aca="false">G19-E19</f>
        <v>-1263</v>
      </c>
    </row>
    <row r="20" customFormat="false" ht="15" hidden="false" customHeight="false" outlineLevel="0" collapsed="false">
      <c r="A20" s="3" t="n">
        <v>19</v>
      </c>
      <c r="B20" s="3" t="n">
        <f aca="false">COUNTIFS(Events!$B$2:$B$252,2024,Events!$C$2:$C$252,19)</f>
        <v>1</v>
      </c>
      <c r="C20" s="10" t="n">
        <f aca="false">SUMIFS(Events!$K$2:$K$252,Events!$B$2:$B$252,2024,Events!$C$2:$C$252,19)</f>
        <v>20900</v>
      </c>
      <c r="D20" s="3" t="n">
        <f aca="false">COUNTIFS(Events!$B$2:$B$252,2025,Events!$C$2:$C$252,19)</f>
        <v>0</v>
      </c>
      <c r="E20" s="10" t="n">
        <f aca="false">SUMIFS(Events!$K$2:$K$252,Events!$B$2:$B$252,2025,Events!$C$2:$C$252,19)</f>
        <v>0</v>
      </c>
      <c r="F20" s="3" t="n">
        <f aca="false">COUNTIFS(Events!$B$2:$B$252,2026,Events!$C$2:$C$252,19)</f>
        <v>0</v>
      </c>
      <c r="G20" s="10" t="n">
        <f aca="false">SUMIFS(Events!$K$2:$K$252,Events!$B$2:$B$252,2026,Events!$C$2:$C$252,19)</f>
        <v>0</v>
      </c>
      <c r="H20" s="3" t="n">
        <f aca="false">F20-F19</f>
        <v>-3</v>
      </c>
      <c r="I20" s="3" t="n">
        <f aca="false">F20-D20</f>
        <v>0</v>
      </c>
      <c r="J20" s="10" t="n">
        <f aca="false">G20-E20</f>
        <v>0</v>
      </c>
    </row>
    <row r="21" customFormat="false" ht="15" hidden="false" customHeight="false" outlineLevel="0" collapsed="false">
      <c r="A21" s="3" t="n">
        <v>20</v>
      </c>
      <c r="B21" s="3" t="n">
        <f aca="false">COUNTIFS(Events!$B$2:$B$252,2024,Events!$C$2:$C$252,20)</f>
        <v>1</v>
      </c>
      <c r="C21" s="10" t="n">
        <f aca="false">SUMIFS(Events!$K$2:$K$252,Events!$B$2:$B$252,2024,Events!$C$2:$C$252,20)</f>
        <v>0</v>
      </c>
      <c r="D21" s="3" t="n">
        <f aca="false">COUNTIFS(Events!$B$2:$B$252,2025,Events!$C$2:$C$252,20)</f>
        <v>1</v>
      </c>
      <c r="E21" s="10" t="n">
        <f aca="false">SUMIFS(Events!$K$2:$K$252,Events!$B$2:$B$252,2025,Events!$C$2:$C$252,20)</f>
        <v>20363</v>
      </c>
      <c r="F21" s="3" t="n">
        <f aca="false">COUNTIFS(Events!$B$2:$B$252,2026,Events!$C$2:$C$252,20)</f>
        <v>0</v>
      </c>
      <c r="G21" s="10" t="n">
        <f aca="false">SUMIFS(Events!$K$2:$K$252,Events!$B$2:$B$252,2026,Events!$C$2:$C$252,20)</f>
        <v>0</v>
      </c>
      <c r="H21" s="3" t="n">
        <f aca="false">F21-F20</f>
        <v>0</v>
      </c>
      <c r="I21" s="3" t="n">
        <f aca="false">F21-D21</f>
        <v>-1</v>
      </c>
      <c r="J21" s="10" t="n">
        <f aca="false">G21-E21</f>
        <v>-20363</v>
      </c>
    </row>
    <row r="22" customFormat="false" ht="15" hidden="false" customHeight="false" outlineLevel="0" collapsed="false">
      <c r="A22" s="3" t="n">
        <v>21</v>
      </c>
      <c r="B22" s="3" t="n">
        <f aca="false">COUNTIFS(Events!$B$2:$B$252,2024,Events!$C$2:$C$252,21)</f>
        <v>0</v>
      </c>
      <c r="C22" s="10" t="n">
        <f aca="false">SUMIFS(Events!$K$2:$K$252,Events!$B$2:$B$252,2024,Events!$C$2:$C$252,21)</f>
        <v>0</v>
      </c>
      <c r="D22" s="3" t="n">
        <f aca="false">COUNTIFS(Events!$B$2:$B$252,2025,Events!$C$2:$C$252,21)</f>
        <v>0</v>
      </c>
      <c r="E22" s="10" t="n">
        <f aca="false">SUMIFS(Events!$K$2:$K$252,Events!$B$2:$B$252,2025,Events!$C$2:$C$252,21)</f>
        <v>0</v>
      </c>
      <c r="F22" s="3" t="n">
        <f aca="false">COUNTIFS(Events!$B$2:$B$252,2026,Events!$C$2:$C$252,21)</f>
        <v>2</v>
      </c>
      <c r="G22" s="10" t="n">
        <f aca="false">SUMIFS(Events!$K$2:$K$252,Events!$B$2:$B$252,2026,Events!$C$2:$C$252,21)</f>
        <v>19782</v>
      </c>
      <c r="H22" s="3" t="n">
        <f aca="false">F22-F21</f>
        <v>2</v>
      </c>
      <c r="I22" s="3" t="n">
        <f aca="false">F22-D22</f>
        <v>2</v>
      </c>
      <c r="J22" s="10" t="n">
        <f aca="false">G22-E22</f>
        <v>19782</v>
      </c>
    </row>
    <row r="23" customFormat="false" ht="15" hidden="false" customHeight="false" outlineLevel="0" collapsed="false">
      <c r="A23" s="3" t="n">
        <v>22</v>
      </c>
      <c r="B23" s="3" t="n">
        <f aca="false">COUNTIFS(Events!$B$2:$B$252,2024,Events!$C$2:$C$252,22)</f>
        <v>1</v>
      </c>
      <c r="C23" s="10" t="n">
        <f aca="false">SUMIFS(Events!$K$2:$K$252,Events!$B$2:$B$252,2024,Events!$C$2:$C$252,22)</f>
        <v>0</v>
      </c>
      <c r="D23" s="3" t="n">
        <f aca="false">COUNTIFS(Events!$B$2:$B$252,2025,Events!$C$2:$C$252,22)</f>
        <v>1</v>
      </c>
      <c r="E23" s="10" t="n">
        <f aca="false">SUMIFS(Events!$K$2:$K$252,Events!$B$2:$B$252,2025,Events!$C$2:$C$252,22)</f>
        <v>20022</v>
      </c>
      <c r="F23" s="3" t="n">
        <f aca="false">COUNTIFS(Events!$B$2:$B$252,2026,Events!$C$2:$C$252,22)</f>
        <v>1</v>
      </c>
      <c r="G23" s="10" t="n">
        <f aca="false">SUMIFS(Events!$K$2:$K$252,Events!$B$2:$B$252,2026,Events!$C$2:$C$252,22)</f>
        <v>0</v>
      </c>
      <c r="H23" s="3" t="n">
        <f aca="false">F23-F22</f>
        <v>-1</v>
      </c>
      <c r="I23" s="3" t="n">
        <f aca="false">F23-D23</f>
        <v>0</v>
      </c>
      <c r="J23" s="10" t="n">
        <f aca="false">G23-E23</f>
        <v>-20022</v>
      </c>
    </row>
    <row r="24" customFormat="false" ht="15" hidden="false" customHeight="false" outlineLevel="0" collapsed="false">
      <c r="A24" s="3" t="n">
        <v>23</v>
      </c>
      <c r="B24" s="3" t="n">
        <f aca="false">COUNTIFS(Events!$B$2:$B$252,2024,Events!$C$2:$C$252,23)</f>
        <v>0</v>
      </c>
      <c r="C24" s="10" t="n">
        <f aca="false">SUMIFS(Events!$K$2:$K$252,Events!$B$2:$B$252,2024,Events!$C$2:$C$252,23)</f>
        <v>0</v>
      </c>
      <c r="D24" s="3" t="n">
        <f aca="false">COUNTIFS(Events!$B$2:$B$252,2025,Events!$C$2:$C$252,23)</f>
        <v>0</v>
      </c>
      <c r="E24" s="10" t="n">
        <f aca="false">SUMIFS(Events!$K$2:$K$252,Events!$B$2:$B$252,2025,Events!$C$2:$C$252,23)</f>
        <v>0</v>
      </c>
      <c r="F24" s="3" t="n">
        <f aca="false">COUNTIFS(Events!$B$2:$B$252,2026,Events!$C$2:$C$252,23)</f>
        <v>1</v>
      </c>
      <c r="G24" s="10" t="n">
        <f aca="false">SUMIFS(Events!$K$2:$K$252,Events!$B$2:$B$252,2026,Events!$C$2:$C$252,23)</f>
        <v>0</v>
      </c>
      <c r="H24" s="3" t="n">
        <f aca="false">F24-F23</f>
        <v>0</v>
      </c>
      <c r="I24" s="3" t="n">
        <f aca="false">F24-D24</f>
        <v>1</v>
      </c>
      <c r="J24" s="10" t="n">
        <f aca="false">G24-E24</f>
        <v>0</v>
      </c>
    </row>
    <row r="25" customFormat="false" ht="15" hidden="false" customHeight="false" outlineLevel="0" collapsed="false">
      <c r="A25" s="3" t="n">
        <v>24</v>
      </c>
      <c r="B25" s="3" t="n">
        <f aca="false">COUNTIFS(Events!$B$2:$B$252,2024,Events!$C$2:$C$252,24)</f>
        <v>2</v>
      </c>
      <c r="C25" s="10" t="n">
        <f aca="false">SUMIFS(Events!$K$2:$K$252,Events!$B$2:$B$252,2024,Events!$C$2:$C$252,24)</f>
        <v>0</v>
      </c>
      <c r="D25" s="3" t="n">
        <f aca="false">COUNTIFS(Events!$B$2:$B$252,2025,Events!$C$2:$C$252,24)</f>
        <v>1</v>
      </c>
      <c r="E25" s="10" t="n">
        <f aca="false">SUMIFS(Events!$K$2:$K$252,Events!$B$2:$B$252,2025,Events!$C$2:$C$252,24)</f>
        <v>20721</v>
      </c>
      <c r="F25" s="3" t="n">
        <f aca="false">COUNTIFS(Events!$B$2:$B$252,2026,Events!$C$2:$C$252,24)</f>
        <v>0</v>
      </c>
      <c r="G25" s="10" t="n">
        <f aca="false">SUMIFS(Events!$K$2:$K$252,Events!$B$2:$B$252,2026,Events!$C$2:$C$252,24)</f>
        <v>0</v>
      </c>
      <c r="H25" s="3" t="n">
        <f aca="false">F25-F24</f>
        <v>-1</v>
      </c>
      <c r="I25" s="3" t="n">
        <f aca="false">F25-D25</f>
        <v>-1</v>
      </c>
      <c r="J25" s="10" t="n">
        <f aca="false">G25-E25</f>
        <v>-20721</v>
      </c>
    </row>
    <row r="26" customFormat="false" ht="15" hidden="false" customHeight="false" outlineLevel="0" collapsed="false">
      <c r="A26" s="3" t="n">
        <v>25</v>
      </c>
      <c r="B26" s="3" t="n">
        <f aca="false">COUNTIFS(Events!$B$2:$B$252,2024,Events!$C$2:$C$252,25)</f>
        <v>2</v>
      </c>
      <c r="C26" s="10" t="n">
        <f aca="false">SUMIFS(Events!$K$2:$K$252,Events!$B$2:$B$252,2024,Events!$C$2:$C$252,25)</f>
        <v>20818</v>
      </c>
      <c r="D26" s="3" t="n">
        <f aca="false">COUNTIFS(Events!$B$2:$B$252,2025,Events!$C$2:$C$252,25)</f>
        <v>2</v>
      </c>
      <c r="E26" s="10" t="n">
        <f aca="false">SUMIFS(Events!$K$2:$K$252,Events!$B$2:$B$252,2025,Events!$C$2:$C$252,25)</f>
        <v>0</v>
      </c>
      <c r="F26" s="3" t="n">
        <f aca="false">COUNTIFS(Events!$B$2:$B$252,2026,Events!$C$2:$C$252,25)</f>
        <v>3</v>
      </c>
      <c r="G26" s="10" t="n">
        <f aca="false">SUMIFS(Events!$K$2:$K$252,Events!$B$2:$B$252,2026,Events!$C$2:$C$252,25)</f>
        <v>0</v>
      </c>
      <c r="H26" s="3" t="n">
        <f aca="false">F26-F25</f>
        <v>3</v>
      </c>
      <c r="I26" s="3" t="n">
        <f aca="false">F26-D26</f>
        <v>1</v>
      </c>
      <c r="J26" s="10" t="n">
        <f aca="false">G26-E26</f>
        <v>0</v>
      </c>
    </row>
    <row r="27" customFormat="false" ht="15" hidden="false" customHeight="false" outlineLevel="0" collapsed="false">
      <c r="A27" s="3" t="n">
        <v>26</v>
      </c>
      <c r="B27" s="3" t="n">
        <f aca="false">COUNTIFS(Events!$B$2:$B$252,2024,Events!$C$2:$C$252,26)</f>
        <v>2</v>
      </c>
      <c r="C27" s="10" t="n">
        <f aca="false">SUMIFS(Events!$K$2:$K$252,Events!$B$2:$B$252,2024,Events!$C$2:$C$252,26)</f>
        <v>200000</v>
      </c>
      <c r="D27" s="3" t="n">
        <f aca="false">COUNTIFS(Events!$B$2:$B$252,2025,Events!$C$2:$C$252,26)</f>
        <v>3</v>
      </c>
      <c r="E27" s="10" t="n">
        <f aca="false">SUMIFS(Events!$K$2:$K$252,Events!$B$2:$B$252,2025,Events!$C$2:$C$252,26)</f>
        <v>240979</v>
      </c>
      <c r="F27" s="3" t="n">
        <f aca="false">COUNTIFS(Events!$B$2:$B$252,2026,Events!$C$2:$C$252,26)</f>
        <v>2</v>
      </c>
      <c r="G27" s="10" t="n">
        <f aca="false">SUMIFS(Events!$K$2:$K$252,Events!$B$2:$B$252,2026,Events!$C$2:$C$252,26)</f>
        <v>200000</v>
      </c>
      <c r="H27" s="3" t="n">
        <f aca="false">F27-F26</f>
        <v>-1</v>
      </c>
      <c r="I27" s="3" t="n">
        <f aca="false">F27-D27</f>
        <v>-1</v>
      </c>
      <c r="J27" s="10" t="n">
        <f aca="false">G27-E27</f>
        <v>-40979</v>
      </c>
    </row>
    <row r="28" customFormat="false" ht="15" hidden="false" customHeight="false" outlineLevel="0" collapsed="false">
      <c r="A28" s="3" t="n">
        <v>27</v>
      </c>
      <c r="B28" s="3" t="n">
        <f aca="false">COUNTIFS(Events!$B$2:$B$252,2024,Events!$C$2:$C$252,27)</f>
        <v>5</v>
      </c>
      <c r="C28" s="10" t="n">
        <f aca="false">SUMIFS(Events!$K$2:$K$252,Events!$B$2:$B$252,2024,Events!$C$2:$C$252,27)</f>
        <v>440958</v>
      </c>
      <c r="D28" s="3" t="n">
        <f aca="false">COUNTIFS(Events!$B$2:$B$252,2025,Events!$C$2:$C$252,27)</f>
        <v>2</v>
      </c>
      <c r="E28" s="10" t="n">
        <f aca="false">SUMIFS(Events!$K$2:$K$252,Events!$B$2:$B$252,2025,Events!$C$2:$C$252,27)</f>
        <v>400000</v>
      </c>
      <c r="F28" s="3" t="n">
        <f aca="false">COUNTIFS(Events!$B$2:$B$252,2026,Events!$C$2:$C$252,27)</f>
        <v>3</v>
      </c>
      <c r="G28" s="10" t="n">
        <f aca="false">SUMIFS(Events!$K$2:$K$252,Events!$B$2:$B$252,2026,Events!$C$2:$C$252,27)</f>
        <v>400000</v>
      </c>
      <c r="H28" s="3" t="n">
        <f aca="false">F28-F27</f>
        <v>1</v>
      </c>
      <c r="I28" s="3" t="n">
        <f aca="false">F28-D28</f>
        <v>1</v>
      </c>
      <c r="J28" s="10" t="n">
        <f aca="false">G28-E28</f>
        <v>0</v>
      </c>
    </row>
    <row r="29" customFormat="false" ht="15" hidden="false" customHeight="false" outlineLevel="0" collapsed="false">
      <c r="A29" s="3" t="n">
        <v>28</v>
      </c>
      <c r="B29" s="3" t="n">
        <f aca="false">COUNTIFS(Events!$B$2:$B$252,2024,Events!$C$2:$C$252,28)</f>
        <v>0</v>
      </c>
      <c r="C29" s="10" t="n">
        <f aca="false">SUMIFS(Events!$K$2:$K$252,Events!$B$2:$B$252,2024,Events!$C$2:$C$252,28)</f>
        <v>0</v>
      </c>
      <c r="D29" s="3" t="n">
        <f aca="false">COUNTIFS(Events!$B$2:$B$252,2025,Events!$C$2:$C$252,28)</f>
        <v>0</v>
      </c>
      <c r="E29" s="10" t="n">
        <f aca="false">SUMIFS(Events!$K$2:$K$252,Events!$B$2:$B$252,2025,Events!$C$2:$C$252,28)</f>
        <v>0</v>
      </c>
      <c r="F29" s="3" t="n">
        <f aca="false">COUNTIFS(Events!$B$2:$B$252,2026,Events!$C$2:$C$252,28)</f>
        <v>0</v>
      </c>
      <c r="G29" s="10" t="n">
        <f aca="false">SUMIFS(Events!$K$2:$K$252,Events!$B$2:$B$252,2026,Events!$C$2:$C$252,28)</f>
        <v>0</v>
      </c>
      <c r="H29" s="3" t="n">
        <f aca="false">F29-F28</f>
        <v>-3</v>
      </c>
      <c r="I29" s="3" t="n">
        <f aca="false">F29-D29</f>
        <v>0</v>
      </c>
      <c r="J29" s="10" t="n">
        <f aca="false">G29-E29</f>
        <v>0</v>
      </c>
    </row>
    <row r="30" customFormat="false" ht="15" hidden="false" customHeight="false" outlineLevel="0" collapsed="false">
      <c r="A30" s="3" t="n">
        <v>29</v>
      </c>
      <c r="B30" s="3" t="n">
        <f aca="false">COUNTIFS(Events!$B$2:$B$252,2024,Events!$C$2:$C$252,29)</f>
        <v>2</v>
      </c>
      <c r="C30" s="10" t="n">
        <f aca="false">SUMIFS(Events!$K$2:$K$252,Events!$B$2:$B$252,2024,Events!$C$2:$C$252,29)</f>
        <v>20793</v>
      </c>
      <c r="D30" s="3" t="n">
        <f aca="false">COUNTIFS(Events!$B$2:$B$252,2025,Events!$C$2:$C$252,29)</f>
        <v>1</v>
      </c>
      <c r="E30" s="10" t="n">
        <f aca="false">SUMIFS(Events!$K$2:$K$252,Events!$B$2:$B$252,2025,Events!$C$2:$C$252,29)</f>
        <v>20668</v>
      </c>
      <c r="F30" s="3" t="n">
        <f aca="false">COUNTIFS(Events!$B$2:$B$252,2026,Events!$C$2:$C$252,29)</f>
        <v>3</v>
      </c>
      <c r="G30" s="10" t="n">
        <f aca="false">SUMIFS(Events!$K$2:$K$252,Events!$B$2:$B$252,2026,Events!$C$2:$C$252,29)</f>
        <v>0</v>
      </c>
      <c r="H30" s="3" t="n">
        <f aca="false">F30-F29</f>
        <v>3</v>
      </c>
      <c r="I30" s="3" t="n">
        <f aca="false">F30-D30</f>
        <v>2</v>
      </c>
      <c r="J30" s="10" t="n">
        <f aca="false">G30-E30</f>
        <v>-20668</v>
      </c>
    </row>
    <row r="31" customFormat="false" ht="15" hidden="false" customHeight="false" outlineLevel="0" collapsed="false">
      <c r="A31" s="3" t="n">
        <v>30</v>
      </c>
      <c r="B31" s="3" t="n">
        <f aca="false">COUNTIFS(Events!$B$2:$B$252,2024,Events!$C$2:$C$252,30)</f>
        <v>2</v>
      </c>
      <c r="C31" s="10" t="n">
        <f aca="false">SUMIFS(Events!$K$2:$K$252,Events!$B$2:$B$252,2024,Events!$C$2:$C$252,30)</f>
        <v>800000</v>
      </c>
      <c r="D31" s="3" t="n">
        <f aca="false">COUNTIFS(Events!$B$2:$B$252,2025,Events!$C$2:$C$252,30)</f>
        <v>2</v>
      </c>
      <c r="E31" s="10" t="n">
        <f aca="false">SUMIFS(Events!$K$2:$K$252,Events!$B$2:$B$252,2025,Events!$C$2:$C$252,30)</f>
        <v>820641</v>
      </c>
      <c r="F31" s="3" t="n">
        <f aca="false">COUNTIFS(Events!$B$2:$B$252,2026,Events!$C$2:$C$252,30)</f>
        <v>3</v>
      </c>
      <c r="G31" s="10" t="n">
        <f aca="false">SUMIFS(Events!$K$2:$K$252,Events!$B$2:$B$252,2026,Events!$C$2:$C$252,30)</f>
        <v>0</v>
      </c>
      <c r="H31" s="3" t="n">
        <f aca="false">F31-F30</f>
        <v>0</v>
      </c>
      <c r="I31" s="3" t="n">
        <f aca="false">F31-D31</f>
        <v>1</v>
      </c>
      <c r="J31" s="10" t="n">
        <f aca="false">G31-E31</f>
        <v>-820641</v>
      </c>
    </row>
    <row r="32" customFormat="false" ht="15" hidden="false" customHeight="false" outlineLevel="0" collapsed="false">
      <c r="A32" s="3" t="n">
        <v>31</v>
      </c>
      <c r="B32" s="3" t="n">
        <f aca="false">COUNTIFS(Events!$B$2:$B$252,2024,Events!$C$2:$C$252,31)</f>
        <v>1</v>
      </c>
      <c r="C32" s="10" t="n">
        <f aca="false">SUMIFS(Events!$K$2:$K$252,Events!$B$2:$B$252,2024,Events!$C$2:$C$252,31)</f>
        <v>0</v>
      </c>
      <c r="D32" s="3" t="n">
        <f aca="false">COUNTIFS(Events!$B$2:$B$252,2025,Events!$C$2:$C$252,31)</f>
        <v>0</v>
      </c>
      <c r="E32" s="10" t="n">
        <f aca="false">SUMIFS(Events!$K$2:$K$252,Events!$B$2:$B$252,2025,Events!$C$2:$C$252,31)</f>
        <v>0</v>
      </c>
      <c r="F32" s="3" t="n">
        <f aca="false">COUNTIFS(Events!$B$2:$B$252,2026,Events!$C$2:$C$252,31)</f>
        <v>3</v>
      </c>
      <c r="G32" s="10" t="n">
        <f aca="false">SUMIFS(Events!$K$2:$K$252,Events!$B$2:$B$252,2026,Events!$C$2:$C$252,31)</f>
        <v>800000</v>
      </c>
      <c r="H32" s="3" t="n">
        <f aca="false">F32-F31</f>
        <v>0</v>
      </c>
      <c r="I32" s="3" t="n">
        <f aca="false">F32-D32</f>
        <v>3</v>
      </c>
      <c r="J32" s="10" t="n">
        <f aca="false">G32-E32</f>
        <v>800000</v>
      </c>
    </row>
    <row r="33" customFormat="false" ht="15" hidden="false" customHeight="false" outlineLevel="0" collapsed="false">
      <c r="A33" s="3" t="n">
        <v>32</v>
      </c>
      <c r="B33" s="3" t="n">
        <f aca="false">COUNTIFS(Events!$B$2:$B$252,2024,Events!$C$2:$C$252,32)</f>
        <v>0</v>
      </c>
      <c r="C33" s="10" t="n">
        <f aca="false">SUMIFS(Events!$K$2:$K$252,Events!$B$2:$B$252,2024,Events!$C$2:$C$252,32)</f>
        <v>0</v>
      </c>
      <c r="D33" s="3" t="n">
        <f aca="false">COUNTIFS(Events!$B$2:$B$252,2025,Events!$C$2:$C$252,32)</f>
        <v>1</v>
      </c>
      <c r="E33" s="10" t="n">
        <f aca="false">SUMIFS(Events!$K$2:$K$252,Events!$B$2:$B$252,2025,Events!$C$2:$C$252,32)</f>
        <v>0</v>
      </c>
      <c r="F33" s="3" t="n">
        <f aca="false">COUNTIFS(Events!$B$2:$B$252,2026,Events!$C$2:$C$252,32)</f>
        <v>0</v>
      </c>
      <c r="G33" s="10" t="n">
        <f aca="false">SUMIFS(Events!$K$2:$K$252,Events!$B$2:$B$252,2026,Events!$C$2:$C$252,32)</f>
        <v>0</v>
      </c>
      <c r="H33" s="3" t="n">
        <f aca="false">F33-F32</f>
        <v>-3</v>
      </c>
      <c r="I33" s="3" t="n">
        <f aca="false">F33-D33</f>
        <v>-1</v>
      </c>
      <c r="J33" s="10" t="n">
        <f aca="false">G33-E33</f>
        <v>0</v>
      </c>
    </row>
    <row r="34" customFormat="false" ht="15" hidden="false" customHeight="false" outlineLevel="0" collapsed="false">
      <c r="A34" s="3" t="n">
        <v>33</v>
      </c>
      <c r="B34" s="3" t="n">
        <f aca="false">COUNTIFS(Events!$B$2:$B$252,2024,Events!$C$2:$C$252,33)</f>
        <v>0</v>
      </c>
      <c r="C34" s="10" t="n">
        <f aca="false">SUMIFS(Events!$K$2:$K$252,Events!$B$2:$B$252,2024,Events!$C$2:$C$252,33)</f>
        <v>0</v>
      </c>
      <c r="D34" s="3" t="n">
        <f aca="false">COUNTIFS(Events!$B$2:$B$252,2025,Events!$C$2:$C$252,33)</f>
        <v>0</v>
      </c>
      <c r="E34" s="10" t="n">
        <f aca="false">SUMIFS(Events!$K$2:$K$252,Events!$B$2:$B$252,2025,Events!$C$2:$C$252,33)</f>
        <v>0</v>
      </c>
      <c r="F34" s="3" t="n">
        <f aca="false">COUNTIFS(Events!$B$2:$B$252,2026,Events!$C$2:$C$252,33)</f>
        <v>2</v>
      </c>
      <c r="G34" s="10" t="n">
        <f aca="false">SUMIFS(Events!$K$2:$K$252,Events!$B$2:$B$252,2026,Events!$C$2:$C$252,33)</f>
        <v>0</v>
      </c>
      <c r="H34" s="3" t="n">
        <f aca="false">F34-F33</f>
        <v>2</v>
      </c>
      <c r="I34" s="3" t="n">
        <f aca="false">F34-D34</f>
        <v>2</v>
      </c>
      <c r="J34" s="10" t="n">
        <f aca="false">G34-E34</f>
        <v>0</v>
      </c>
    </row>
    <row r="35" customFormat="false" ht="15" hidden="false" customHeight="false" outlineLevel="0" collapsed="false">
      <c r="A35" s="3" t="n">
        <v>34</v>
      </c>
      <c r="B35" s="3" t="n">
        <f aca="false">COUNTIFS(Events!$B$2:$B$252,2024,Events!$C$2:$C$252,34)</f>
        <v>1</v>
      </c>
      <c r="C35" s="10" t="n">
        <f aca="false">SUMIFS(Events!$K$2:$K$252,Events!$B$2:$B$252,2024,Events!$C$2:$C$252,34)</f>
        <v>0</v>
      </c>
      <c r="D35" s="3" t="n">
        <f aca="false">COUNTIFS(Events!$B$2:$B$252,2025,Events!$C$2:$C$252,34)</f>
        <v>1</v>
      </c>
      <c r="E35" s="10" t="n">
        <f aca="false">SUMIFS(Events!$K$2:$K$252,Events!$B$2:$B$252,2025,Events!$C$2:$C$252,34)</f>
        <v>20777</v>
      </c>
      <c r="F35" s="3" t="n">
        <f aca="false">COUNTIFS(Events!$B$2:$B$252,2026,Events!$C$2:$C$252,34)</f>
        <v>2</v>
      </c>
      <c r="G35" s="10" t="n">
        <f aca="false">SUMIFS(Events!$K$2:$K$252,Events!$B$2:$B$252,2026,Events!$C$2:$C$252,34)</f>
        <v>0</v>
      </c>
      <c r="H35" s="3" t="n">
        <f aca="false">F35-F34</f>
        <v>0</v>
      </c>
      <c r="I35" s="3" t="n">
        <f aca="false">F35-D35</f>
        <v>1</v>
      </c>
      <c r="J35" s="10" t="n">
        <f aca="false">G35-E35</f>
        <v>-20777</v>
      </c>
    </row>
    <row r="36" customFormat="false" ht="15" hidden="false" customHeight="false" outlineLevel="0" collapsed="false">
      <c r="A36" s="3" t="n">
        <v>35</v>
      </c>
      <c r="B36" s="3" t="n">
        <f aca="false">COUNTIFS(Events!$B$2:$B$252,2024,Events!$C$2:$C$252,35)</f>
        <v>2</v>
      </c>
      <c r="C36" s="10" t="n">
        <f aca="false">SUMIFS(Events!$K$2:$K$252,Events!$B$2:$B$252,2024,Events!$C$2:$C$252,35)</f>
        <v>122629</v>
      </c>
      <c r="D36" s="3" t="n">
        <f aca="false">COUNTIFS(Events!$B$2:$B$252,2025,Events!$C$2:$C$252,35)</f>
        <v>1</v>
      </c>
      <c r="E36" s="10" t="n">
        <f aca="false">SUMIFS(Events!$K$2:$K$252,Events!$B$2:$B$252,2025,Events!$C$2:$C$252,35)</f>
        <v>95995</v>
      </c>
      <c r="F36" s="3" t="n">
        <f aca="false">COUNTIFS(Events!$B$2:$B$252,2026,Events!$C$2:$C$252,35)</f>
        <v>1</v>
      </c>
      <c r="G36" s="10" t="n">
        <f aca="false">SUMIFS(Events!$K$2:$K$252,Events!$B$2:$B$252,2026,Events!$C$2:$C$252,35)</f>
        <v>0</v>
      </c>
      <c r="H36" s="3" t="n">
        <f aca="false">F36-F35</f>
        <v>-1</v>
      </c>
      <c r="I36" s="3" t="n">
        <f aca="false">F36-D36</f>
        <v>0</v>
      </c>
      <c r="J36" s="10" t="n">
        <f aca="false">G36-E36</f>
        <v>-95995</v>
      </c>
    </row>
    <row r="37" customFormat="false" ht="15" hidden="false" customHeight="false" outlineLevel="0" collapsed="false">
      <c r="A37" s="3" t="n">
        <v>36</v>
      </c>
      <c r="B37" s="3" t="n">
        <f aca="false">COUNTIFS(Events!$B$2:$B$252,2024,Events!$C$2:$C$252,36)</f>
        <v>3</v>
      </c>
      <c r="C37" s="10" t="n">
        <f aca="false">SUMIFS(Events!$K$2:$K$252,Events!$B$2:$B$252,2024,Events!$C$2:$C$252,36)</f>
        <v>123188</v>
      </c>
      <c r="D37" s="3" t="n">
        <f aca="false">COUNTIFS(Events!$B$2:$B$252,2025,Events!$C$2:$C$252,36)</f>
        <v>1</v>
      </c>
      <c r="E37" s="10" t="n">
        <f aca="false">SUMIFS(Events!$K$2:$K$252,Events!$B$2:$B$252,2025,Events!$C$2:$C$252,36)</f>
        <v>81165</v>
      </c>
      <c r="F37" s="3" t="n">
        <f aca="false">COUNTIFS(Events!$B$2:$B$252,2026,Events!$C$2:$C$252,36)</f>
        <v>3</v>
      </c>
      <c r="G37" s="10" t="n">
        <f aca="false">SUMIFS(Events!$K$2:$K$252,Events!$B$2:$B$252,2026,Events!$C$2:$C$252,36)</f>
        <v>0</v>
      </c>
      <c r="H37" s="3" t="n">
        <f aca="false">F37-F36</f>
        <v>2</v>
      </c>
      <c r="I37" s="3" t="n">
        <f aca="false">F37-D37</f>
        <v>2</v>
      </c>
      <c r="J37" s="10" t="n">
        <f aca="false">G37-E37</f>
        <v>-81165</v>
      </c>
    </row>
    <row r="38" customFormat="false" ht="15" hidden="false" customHeight="false" outlineLevel="0" collapsed="false">
      <c r="A38" s="3" t="n">
        <v>37</v>
      </c>
      <c r="B38" s="3" t="n">
        <f aca="false">COUNTIFS(Events!$B$2:$B$252,2024,Events!$C$2:$C$252,37)</f>
        <v>1</v>
      </c>
      <c r="C38" s="10" t="n">
        <f aca="false">SUMIFS(Events!$K$2:$K$252,Events!$B$2:$B$252,2024,Events!$C$2:$C$252,37)</f>
        <v>0</v>
      </c>
      <c r="D38" s="3" t="n">
        <f aca="false">COUNTIFS(Events!$B$2:$B$252,2025,Events!$C$2:$C$252,37)</f>
        <v>1</v>
      </c>
      <c r="E38" s="10" t="n">
        <f aca="false">SUMIFS(Events!$K$2:$K$252,Events!$B$2:$B$252,2025,Events!$C$2:$C$252,37)</f>
        <v>93731</v>
      </c>
      <c r="F38" s="3" t="n">
        <f aca="false">COUNTIFS(Events!$B$2:$B$252,2026,Events!$C$2:$C$252,37)</f>
        <v>1</v>
      </c>
      <c r="G38" s="10" t="n">
        <f aca="false">SUMIFS(Events!$K$2:$K$252,Events!$B$2:$B$252,2026,Events!$C$2:$C$252,37)</f>
        <v>0</v>
      </c>
      <c r="H38" s="3" t="n">
        <f aca="false">F38-F37</f>
        <v>-2</v>
      </c>
      <c r="I38" s="3" t="n">
        <f aca="false">F38-D38</f>
        <v>0</v>
      </c>
      <c r="J38" s="10" t="n">
        <f aca="false">G38-E38</f>
        <v>-93731</v>
      </c>
    </row>
    <row r="39" customFormat="false" ht="15" hidden="false" customHeight="false" outlineLevel="0" collapsed="false">
      <c r="A39" s="3" t="n">
        <v>38</v>
      </c>
      <c r="B39" s="3" t="n">
        <f aca="false">COUNTIFS(Events!$B$2:$B$252,2024,Events!$C$2:$C$252,38)</f>
        <v>2</v>
      </c>
      <c r="C39" s="10" t="n">
        <f aca="false">SUMIFS(Events!$K$2:$K$252,Events!$B$2:$B$252,2024,Events!$C$2:$C$252,38)</f>
        <v>124739</v>
      </c>
      <c r="D39" s="3" t="n">
        <f aca="false">COUNTIFS(Events!$B$2:$B$252,2025,Events!$C$2:$C$252,38)</f>
        <v>1</v>
      </c>
      <c r="E39" s="10" t="n">
        <f aca="false">SUMIFS(Events!$K$2:$K$252,Events!$B$2:$B$252,2025,Events!$C$2:$C$252,38)</f>
        <v>20739</v>
      </c>
      <c r="F39" s="3" t="n">
        <f aca="false">COUNTIFS(Events!$B$2:$B$252,2026,Events!$C$2:$C$252,38)</f>
        <v>2</v>
      </c>
      <c r="G39" s="10" t="n">
        <f aca="false">SUMIFS(Events!$K$2:$K$252,Events!$B$2:$B$252,2026,Events!$C$2:$C$252,38)</f>
        <v>0</v>
      </c>
      <c r="H39" s="3" t="n">
        <f aca="false">F39-F38</f>
        <v>1</v>
      </c>
      <c r="I39" s="3" t="n">
        <f aca="false">F39-D39</f>
        <v>1</v>
      </c>
      <c r="J39" s="10" t="n">
        <f aca="false">G39-E39</f>
        <v>-20739</v>
      </c>
    </row>
    <row r="40" customFormat="false" ht="15" hidden="false" customHeight="false" outlineLevel="0" collapsed="false">
      <c r="A40" s="3" t="n">
        <v>39</v>
      </c>
      <c r="B40" s="3" t="n">
        <f aca="false">COUNTIFS(Events!$B$2:$B$252,2024,Events!$C$2:$C$252,39)</f>
        <v>0</v>
      </c>
      <c r="C40" s="10" t="n">
        <f aca="false">SUMIFS(Events!$K$2:$K$252,Events!$B$2:$B$252,2024,Events!$C$2:$C$252,39)</f>
        <v>0</v>
      </c>
      <c r="D40" s="3" t="n">
        <f aca="false">COUNTIFS(Events!$B$2:$B$252,2025,Events!$C$2:$C$252,39)</f>
        <v>1</v>
      </c>
      <c r="E40" s="10" t="n">
        <f aca="false">SUMIFS(Events!$K$2:$K$252,Events!$B$2:$B$252,2025,Events!$C$2:$C$252,39)</f>
        <v>0</v>
      </c>
      <c r="F40" s="3" t="n">
        <f aca="false">COUNTIFS(Events!$B$2:$B$252,2026,Events!$C$2:$C$252,39)</f>
        <v>2</v>
      </c>
      <c r="G40" s="10" t="n">
        <f aca="false">SUMIFS(Events!$K$2:$K$252,Events!$B$2:$B$252,2026,Events!$C$2:$C$252,39)</f>
        <v>0</v>
      </c>
      <c r="H40" s="3" t="n">
        <f aca="false">F40-F39</f>
        <v>0</v>
      </c>
      <c r="I40" s="3" t="n">
        <f aca="false">F40-D40</f>
        <v>1</v>
      </c>
      <c r="J40" s="10" t="n">
        <f aca="false">G40-E40</f>
        <v>0</v>
      </c>
    </row>
    <row r="41" customFormat="false" ht="15" hidden="false" customHeight="false" outlineLevel="0" collapsed="false">
      <c r="A41" s="3" t="n">
        <v>40</v>
      </c>
      <c r="B41" s="3" t="n">
        <f aca="false">COUNTIFS(Events!$B$2:$B$252,2024,Events!$C$2:$C$252,40)</f>
        <v>3</v>
      </c>
      <c r="C41" s="10" t="n">
        <f aca="false">SUMIFS(Events!$K$2:$K$252,Events!$B$2:$B$252,2024,Events!$C$2:$C$252,40)</f>
        <v>146451</v>
      </c>
      <c r="D41" s="3" t="n">
        <f aca="false">COUNTIFS(Events!$B$2:$B$252,2025,Events!$C$2:$C$252,40)</f>
        <v>1</v>
      </c>
      <c r="E41" s="10" t="n">
        <f aca="false">SUMIFS(Events!$K$2:$K$252,Events!$B$2:$B$252,2025,Events!$C$2:$C$252,40)</f>
        <v>91580</v>
      </c>
      <c r="F41" s="3" t="n">
        <f aca="false">COUNTIFS(Events!$B$2:$B$252,2026,Events!$C$2:$C$252,40)</f>
        <v>0</v>
      </c>
      <c r="G41" s="10" t="n">
        <f aca="false">SUMIFS(Events!$K$2:$K$252,Events!$B$2:$B$252,2026,Events!$C$2:$C$252,40)</f>
        <v>0</v>
      </c>
      <c r="H41" s="3" t="n">
        <f aca="false">F41-F40</f>
        <v>-2</v>
      </c>
      <c r="I41" s="3" t="n">
        <f aca="false">F41-D41</f>
        <v>-1</v>
      </c>
      <c r="J41" s="10" t="n">
        <f aca="false">G41-E41</f>
        <v>-91580</v>
      </c>
    </row>
    <row r="42" customFormat="false" ht="15" hidden="false" customHeight="false" outlineLevel="0" collapsed="false">
      <c r="A42" s="3" t="n">
        <v>41</v>
      </c>
      <c r="B42" s="3" t="n">
        <f aca="false">COUNTIFS(Events!$B$2:$B$252,2024,Events!$C$2:$C$252,41)</f>
        <v>1</v>
      </c>
      <c r="C42" s="10" t="n">
        <f aca="false">SUMIFS(Events!$K$2:$K$252,Events!$B$2:$B$252,2024,Events!$C$2:$C$252,41)</f>
        <v>20439</v>
      </c>
      <c r="D42" s="3" t="n">
        <f aca="false">COUNTIFS(Events!$B$2:$B$252,2025,Events!$C$2:$C$252,41)</f>
        <v>0</v>
      </c>
      <c r="E42" s="10" t="n">
        <f aca="false">SUMIFS(Events!$K$2:$K$252,Events!$B$2:$B$252,2025,Events!$C$2:$C$252,41)</f>
        <v>0</v>
      </c>
      <c r="F42" s="3" t="n">
        <f aca="false">COUNTIFS(Events!$B$2:$B$252,2026,Events!$C$2:$C$252,41)</f>
        <v>1</v>
      </c>
      <c r="G42" s="10" t="n">
        <f aca="false">SUMIFS(Events!$K$2:$K$252,Events!$B$2:$B$252,2026,Events!$C$2:$C$252,41)</f>
        <v>0</v>
      </c>
      <c r="H42" s="3" t="n">
        <f aca="false">F42-F41</f>
        <v>1</v>
      </c>
      <c r="I42" s="3" t="n">
        <f aca="false">F42-D42</f>
        <v>1</v>
      </c>
      <c r="J42" s="10" t="n">
        <f aca="false">G42-E42</f>
        <v>0</v>
      </c>
    </row>
    <row r="43" customFormat="false" ht="15" hidden="false" customHeight="false" outlineLevel="0" collapsed="false">
      <c r="A43" s="3" t="n">
        <v>42</v>
      </c>
      <c r="B43" s="3" t="n">
        <f aca="false">COUNTIFS(Events!$B$2:$B$252,2024,Events!$C$2:$C$252,42)</f>
        <v>4</v>
      </c>
      <c r="C43" s="10" t="n">
        <f aca="false">SUMIFS(Events!$K$2:$K$252,Events!$B$2:$B$252,2024,Events!$C$2:$C$252,42)</f>
        <v>66486</v>
      </c>
      <c r="D43" s="3" t="n">
        <f aca="false">COUNTIFS(Events!$B$2:$B$252,2025,Events!$C$2:$C$252,42)</f>
        <v>5</v>
      </c>
      <c r="E43" s="10" t="n">
        <f aca="false">SUMIFS(Events!$K$2:$K$252,Events!$B$2:$B$252,2025,Events!$C$2:$C$252,42)</f>
        <v>87434</v>
      </c>
      <c r="F43" s="3" t="n">
        <f aca="false">COUNTIFS(Events!$B$2:$B$252,2026,Events!$C$2:$C$252,42)</f>
        <v>5</v>
      </c>
      <c r="G43" s="10" t="n">
        <f aca="false">SUMIFS(Events!$K$2:$K$252,Events!$B$2:$B$252,2026,Events!$C$2:$C$252,42)</f>
        <v>65874</v>
      </c>
      <c r="H43" s="3" t="n">
        <f aca="false">F43-F42</f>
        <v>4</v>
      </c>
      <c r="I43" s="3" t="n">
        <f aca="false">F43-D43</f>
        <v>0</v>
      </c>
      <c r="J43" s="10" t="n">
        <f aca="false">G43-E43</f>
        <v>-21560</v>
      </c>
    </row>
    <row r="44" customFormat="false" ht="15" hidden="false" customHeight="false" outlineLevel="0" collapsed="false">
      <c r="A44" s="3" t="n">
        <v>43</v>
      </c>
      <c r="B44" s="3" t="n">
        <f aca="false">COUNTIFS(Events!$B$2:$B$252,2024,Events!$C$2:$C$252,43)</f>
        <v>2</v>
      </c>
      <c r="C44" s="10" t="n">
        <f aca="false">SUMIFS(Events!$K$2:$K$252,Events!$B$2:$B$252,2024,Events!$C$2:$C$252,43)</f>
        <v>119682</v>
      </c>
      <c r="D44" s="3" t="n">
        <f aca="false">COUNTIFS(Events!$B$2:$B$252,2025,Events!$C$2:$C$252,43)</f>
        <v>1</v>
      </c>
      <c r="E44" s="10" t="n">
        <f aca="false">SUMIFS(Events!$K$2:$K$252,Events!$B$2:$B$252,2025,Events!$C$2:$C$252,43)</f>
        <v>17714</v>
      </c>
      <c r="F44" s="3" t="n">
        <f aca="false">COUNTIFS(Events!$B$2:$B$252,2026,Events!$C$2:$C$252,43)</f>
        <v>2</v>
      </c>
      <c r="G44" s="10" t="n">
        <f aca="false">SUMIFS(Events!$K$2:$K$252,Events!$B$2:$B$252,2026,Events!$C$2:$C$252,43)</f>
        <v>16958</v>
      </c>
      <c r="H44" s="3" t="n">
        <f aca="false">F44-F43</f>
        <v>-3</v>
      </c>
      <c r="I44" s="3" t="n">
        <f aca="false">F44-D44</f>
        <v>1</v>
      </c>
      <c r="J44" s="10" t="n">
        <f aca="false">G44-E44</f>
        <v>-756</v>
      </c>
    </row>
    <row r="45" customFormat="false" ht="15" hidden="false" customHeight="false" outlineLevel="0" collapsed="false">
      <c r="A45" s="3" t="n">
        <v>44</v>
      </c>
      <c r="B45" s="3" t="n">
        <f aca="false">COUNTIFS(Events!$B$2:$B$252,2024,Events!$C$2:$C$252,44)</f>
        <v>3</v>
      </c>
      <c r="C45" s="10" t="n">
        <f aca="false">SUMIFS(Events!$K$2:$K$252,Events!$B$2:$B$252,2024,Events!$C$2:$C$252,44)</f>
        <v>45075</v>
      </c>
      <c r="D45" s="3" t="n">
        <f aca="false">COUNTIFS(Events!$B$2:$B$252,2025,Events!$C$2:$C$252,44)</f>
        <v>3</v>
      </c>
      <c r="E45" s="10" t="n">
        <f aca="false">SUMIFS(Events!$K$2:$K$252,Events!$B$2:$B$252,2025,Events!$C$2:$C$252,44)</f>
        <v>125651</v>
      </c>
      <c r="F45" s="3" t="n">
        <f aca="false">COUNTIFS(Events!$B$2:$B$252,2026,Events!$C$2:$C$252,44)</f>
        <v>3</v>
      </c>
      <c r="G45" s="10" t="n">
        <f aca="false">SUMIFS(Events!$K$2:$K$252,Events!$B$2:$B$252,2026,Events!$C$2:$C$252,44)</f>
        <v>33916</v>
      </c>
      <c r="H45" s="3" t="n">
        <f aca="false">F45-F44</f>
        <v>1</v>
      </c>
      <c r="I45" s="3" t="n">
        <f aca="false">F45-D45</f>
        <v>0</v>
      </c>
      <c r="J45" s="10" t="n">
        <f aca="false">G45-E45</f>
        <v>-91735</v>
      </c>
    </row>
    <row r="46" customFormat="false" ht="15" hidden="false" customHeight="false" outlineLevel="0" collapsed="false">
      <c r="A46" s="3" t="n">
        <v>45</v>
      </c>
      <c r="B46" s="3" t="n">
        <f aca="false">COUNTIFS(Events!$B$2:$B$252,2024,Events!$C$2:$C$252,45)</f>
        <v>1</v>
      </c>
      <c r="C46" s="10" t="n">
        <f aca="false">SUMIFS(Events!$K$2:$K$252,Events!$B$2:$B$252,2024,Events!$C$2:$C$252,45)</f>
        <v>103463</v>
      </c>
      <c r="D46" s="3" t="n">
        <f aca="false">COUNTIFS(Events!$B$2:$B$252,2025,Events!$C$2:$C$252,45)</f>
        <v>1</v>
      </c>
      <c r="E46" s="10" t="n">
        <f aca="false">SUMIFS(Events!$K$2:$K$252,Events!$B$2:$B$252,2025,Events!$C$2:$C$252,45)</f>
        <v>0</v>
      </c>
      <c r="F46" s="3" t="n">
        <f aca="false">COUNTIFS(Events!$B$2:$B$252,2026,Events!$C$2:$C$252,45)</f>
        <v>1</v>
      </c>
      <c r="G46" s="10" t="n">
        <f aca="false">SUMIFS(Events!$K$2:$K$252,Events!$B$2:$B$252,2026,Events!$C$2:$C$252,45)</f>
        <v>0</v>
      </c>
      <c r="H46" s="3" t="n">
        <f aca="false">F46-F45</f>
        <v>-2</v>
      </c>
      <c r="I46" s="3" t="n">
        <f aca="false">F46-D46</f>
        <v>0</v>
      </c>
      <c r="J46" s="10" t="n">
        <f aca="false">G46-E46</f>
        <v>0</v>
      </c>
    </row>
    <row r="47" customFormat="false" ht="15" hidden="false" customHeight="false" outlineLevel="0" collapsed="false">
      <c r="A47" s="3" t="n">
        <v>46</v>
      </c>
      <c r="B47" s="3" t="n">
        <f aca="false">COUNTIFS(Events!$B$2:$B$252,2024,Events!$C$2:$C$252,46)</f>
        <v>1</v>
      </c>
      <c r="C47" s="10" t="n">
        <f aca="false">SUMIFS(Events!$K$2:$K$252,Events!$B$2:$B$252,2024,Events!$C$2:$C$252,46)</f>
        <v>18348</v>
      </c>
      <c r="D47" s="3" t="n">
        <f aca="false">COUNTIFS(Events!$B$2:$B$252,2025,Events!$C$2:$C$252,46)</f>
        <v>4</v>
      </c>
      <c r="E47" s="10" t="n">
        <f aca="false">SUMIFS(Events!$K$2:$K$252,Events!$B$2:$B$252,2025,Events!$C$2:$C$252,46)</f>
        <v>124296</v>
      </c>
      <c r="F47" s="3" t="n">
        <f aca="false">COUNTIFS(Events!$B$2:$B$252,2026,Events!$C$2:$C$252,46)</f>
        <v>3</v>
      </c>
      <c r="G47" s="10" t="n">
        <f aca="false">SUMIFS(Events!$K$2:$K$252,Events!$B$2:$B$252,2026,Events!$C$2:$C$252,46)</f>
        <v>33916</v>
      </c>
      <c r="H47" s="3" t="n">
        <f aca="false">F47-F46</f>
        <v>2</v>
      </c>
      <c r="I47" s="3" t="n">
        <f aca="false">F47-D47</f>
        <v>-1</v>
      </c>
      <c r="J47" s="10" t="n">
        <f aca="false">G47-E47</f>
        <v>-90380</v>
      </c>
    </row>
    <row r="48" customFormat="false" ht="15" hidden="false" customHeight="false" outlineLevel="0" collapsed="false">
      <c r="A48" s="3" t="n">
        <v>47</v>
      </c>
      <c r="B48" s="3" t="n">
        <f aca="false">COUNTIFS(Events!$B$2:$B$252,2024,Events!$C$2:$C$252,47)</f>
        <v>3</v>
      </c>
      <c r="C48" s="10" t="n">
        <f aca="false">SUMIFS(Events!$K$2:$K$252,Events!$B$2:$B$252,2024,Events!$C$2:$C$252,47)</f>
        <v>138024</v>
      </c>
      <c r="D48" s="3" t="n">
        <f aca="false">COUNTIFS(Events!$B$2:$B$252,2025,Events!$C$2:$C$252,47)</f>
        <v>2</v>
      </c>
      <c r="E48" s="10" t="n">
        <f aca="false">SUMIFS(Events!$K$2:$K$252,Events!$B$2:$B$252,2025,Events!$C$2:$C$252,47)</f>
        <v>90557</v>
      </c>
      <c r="F48" s="3" t="n">
        <f aca="false">COUNTIFS(Events!$B$2:$B$252,2026,Events!$C$2:$C$252,47)</f>
        <v>1</v>
      </c>
      <c r="G48" s="10" t="n">
        <f aca="false">SUMIFS(Events!$K$2:$K$252,Events!$B$2:$B$252,2026,Events!$C$2:$C$252,47)</f>
        <v>16958</v>
      </c>
      <c r="H48" s="3" t="n">
        <f aca="false">F48-F47</f>
        <v>-2</v>
      </c>
      <c r="I48" s="3" t="n">
        <f aca="false">F48-D48</f>
        <v>-1</v>
      </c>
      <c r="J48" s="10" t="n">
        <f aca="false">G48-E48</f>
        <v>-73599</v>
      </c>
    </row>
    <row r="49" customFormat="false" ht="15" hidden="false" customHeight="false" outlineLevel="0" collapsed="false">
      <c r="A49" s="3" t="n">
        <v>48</v>
      </c>
      <c r="B49" s="3" t="n">
        <f aca="false">COUNTIFS(Events!$B$2:$B$252,2024,Events!$C$2:$C$252,48)</f>
        <v>3</v>
      </c>
      <c r="C49" s="10" t="n">
        <f aca="false">SUMIFS(Events!$K$2:$K$252,Events!$B$2:$B$252,2024,Events!$C$2:$C$252,48)</f>
        <v>138525</v>
      </c>
      <c r="D49" s="3" t="n">
        <f aca="false">COUNTIFS(Events!$B$2:$B$252,2025,Events!$C$2:$C$252,48)</f>
        <v>2</v>
      </c>
      <c r="E49" s="10" t="n">
        <f aca="false">SUMIFS(Events!$K$2:$K$252,Events!$B$2:$B$252,2025,Events!$C$2:$C$252,48)</f>
        <v>34826</v>
      </c>
      <c r="F49" s="3" t="n">
        <f aca="false">COUNTIFS(Events!$B$2:$B$252,2026,Events!$C$2:$C$252,48)</f>
        <v>3</v>
      </c>
      <c r="G49" s="10" t="n">
        <f aca="false">SUMIFS(Events!$K$2:$K$252,Events!$B$2:$B$252,2026,Events!$C$2:$C$252,48)</f>
        <v>33916</v>
      </c>
      <c r="H49" s="3" t="n">
        <f aca="false">F49-F48</f>
        <v>2</v>
      </c>
      <c r="I49" s="3" t="n">
        <f aca="false">F49-D49</f>
        <v>1</v>
      </c>
      <c r="J49" s="10" t="n">
        <f aca="false">G49-E49</f>
        <v>-910</v>
      </c>
    </row>
    <row r="50" customFormat="false" ht="15" hidden="false" customHeight="false" outlineLevel="0" collapsed="false">
      <c r="A50" s="3" t="n">
        <v>49</v>
      </c>
      <c r="B50" s="3" t="n">
        <f aca="false">COUNTIFS(Events!$B$2:$B$252,2024,Events!$C$2:$C$252,49)</f>
        <v>1</v>
      </c>
      <c r="C50" s="10" t="n">
        <f aca="false">SUMIFS(Events!$K$2:$K$252,Events!$B$2:$B$252,2024,Events!$C$2:$C$252,49)</f>
        <v>0</v>
      </c>
      <c r="D50" s="3" t="n">
        <f aca="false">COUNTIFS(Events!$B$2:$B$252,2025,Events!$C$2:$C$252,49)</f>
        <v>2</v>
      </c>
      <c r="E50" s="10" t="n">
        <f aca="false">SUMIFS(Events!$K$2:$K$252,Events!$B$2:$B$252,2025,Events!$C$2:$C$252,49)</f>
        <v>16818</v>
      </c>
      <c r="F50" s="3" t="n">
        <f aca="false">COUNTIFS(Events!$B$2:$B$252,2026,Events!$C$2:$C$252,49)</f>
        <v>2</v>
      </c>
      <c r="G50" s="10" t="n">
        <f aca="false">SUMIFS(Events!$K$2:$K$252,Events!$B$2:$B$252,2026,Events!$C$2:$C$252,49)</f>
        <v>16958</v>
      </c>
      <c r="H50" s="3" t="n">
        <f aca="false">F50-F49</f>
        <v>-1</v>
      </c>
      <c r="I50" s="3" t="n">
        <f aca="false">F50-D50</f>
        <v>0</v>
      </c>
      <c r="J50" s="10" t="n">
        <f aca="false">G50-E50</f>
        <v>140</v>
      </c>
    </row>
    <row r="51" customFormat="false" ht="15" hidden="false" customHeight="false" outlineLevel="0" collapsed="false">
      <c r="A51" s="3" t="n">
        <v>50</v>
      </c>
      <c r="B51" s="3" t="n">
        <f aca="false">COUNTIFS(Events!$B$2:$B$252,2024,Events!$C$2:$C$252,50)</f>
        <v>3</v>
      </c>
      <c r="C51" s="10" t="n">
        <f aca="false">SUMIFS(Events!$K$2:$K$252,Events!$B$2:$B$252,2024,Events!$C$2:$C$252,50)</f>
        <v>49092</v>
      </c>
      <c r="D51" s="3" t="n">
        <f aca="false">COUNTIFS(Events!$B$2:$B$252,2025,Events!$C$2:$C$252,50)</f>
        <v>2</v>
      </c>
      <c r="E51" s="10" t="n">
        <f aca="false">SUMIFS(Events!$K$2:$K$252,Events!$B$2:$B$252,2025,Events!$C$2:$C$252,50)</f>
        <v>32024</v>
      </c>
      <c r="F51" s="3" t="n">
        <f aca="false">COUNTIFS(Events!$B$2:$B$252,2026,Events!$C$2:$C$252,50)</f>
        <v>2</v>
      </c>
      <c r="G51" s="10" t="n">
        <f aca="false">SUMIFS(Events!$K$2:$K$252,Events!$B$2:$B$252,2026,Events!$C$2:$C$252,50)</f>
        <v>33916</v>
      </c>
      <c r="H51" s="3" t="n">
        <f aca="false">F51-F50</f>
        <v>0</v>
      </c>
      <c r="I51" s="3" t="n">
        <f aca="false">F51-D51</f>
        <v>0</v>
      </c>
      <c r="J51" s="10" t="n">
        <f aca="false">G51-E51</f>
        <v>1892</v>
      </c>
    </row>
    <row r="52" customFormat="false" ht="15" hidden="false" customHeight="false" outlineLevel="0" collapsed="false">
      <c r="A52" s="3" t="n">
        <v>51</v>
      </c>
      <c r="B52" s="3" t="n">
        <f aca="false">COUNTIFS(Events!$B$2:$B$252,2024,Events!$C$2:$C$252,51)</f>
        <v>1</v>
      </c>
      <c r="C52" s="10" t="n">
        <f aca="false">SUMIFS(Events!$K$2:$K$252,Events!$B$2:$B$252,2024,Events!$C$2:$C$252,51)</f>
        <v>15793</v>
      </c>
      <c r="D52" s="3" t="n">
        <f aca="false">COUNTIFS(Events!$B$2:$B$252,2025,Events!$C$2:$C$252,51)</f>
        <v>2</v>
      </c>
      <c r="E52" s="10" t="n">
        <f aca="false">SUMIFS(Events!$K$2:$K$252,Events!$B$2:$B$252,2025,Events!$C$2:$C$252,51)</f>
        <v>28965</v>
      </c>
      <c r="F52" s="3" t="n">
        <f aca="false">COUNTIFS(Events!$B$2:$B$252,2026,Events!$C$2:$C$252,51)</f>
        <v>2</v>
      </c>
      <c r="G52" s="10" t="n">
        <f aca="false">SUMIFS(Events!$K$2:$K$252,Events!$B$2:$B$252,2026,Events!$C$2:$C$252,51)</f>
        <v>33916</v>
      </c>
      <c r="H52" s="3" t="n">
        <f aca="false">F52-F51</f>
        <v>0</v>
      </c>
      <c r="I52" s="3" t="n">
        <f aca="false">F52-D52</f>
        <v>0</v>
      </c>
      <c r="J52" s="10" t="n">
        <f aca="false">G52-E52</f>
        <v>4951</v>
      </c>
    </row>
    <row r="53" customFormat="false" ht="15" hidden="false" customHeight="false" outlineLevel="0" collapsed="false">
      <c r="A53" s="3" t="n">
        <v>52</v>
      </c>
      <c r="B53" s="3" t="n">
        <f aca="false">COUNTIFS(Events!$B$2:$B$252,2024,Events!$C$2:$C$252,52)</f>
        <v>2</v>
      </c>
      <c r="C53" s="10" t="n">
        <f aca="false">SUMIFS(Events!$K$2:$K$252,Events!$B$2:$B$252,2024,Events!$C$2:$C$252,52)</f>
        <v>36696</v>
      </c>
      <c r="D53" s="3" t="n">
        <f aca="false">COUNTIFS(Events!$B$2:$B$252,2025,Events!$C$2:$C$252,52)</f>
        <v>1</v>
      </c>
      <c r="E53" s="10" t="n">
        <f aca="false">SUMIFS(Events!$K$2:$K$252,Events!$B$2:$B$252,2025,Events!$C$2:$C$252,52)</f>
        <v>18223</v>
      </c>
      <c r="F53" s="3" t="n">
        <f aca="false">COUNTIFS(Events!$B$2:$B$252,2026,Events!$C$2:$C$252,52)</f>
        <v>0</v>
      </c>
      <c r="G53" s="10" t="n">
        <f aca="false">SUMIFS(Events!$K$2:$K$252,Events!$B$2:$B$252,2026,Events!$C$2:$C$252,52)</f>
        <v>0</v>
      </c>
      <c r="H53" s="3" t="n">
        <f aca="false">F53-F52</f>
        <v>-2</v>
      </c>
      <c r="I53" s="3" t="n">
        <f aca="false">F53-D53</f>
        <v>-1</v>
      </c>
      <c r="J53" s="10" t="n">
        <f aca="false">G53-E53</f>
        <v>-18223</v>
      </c>
    </row>
    <row r="54" customFormat="false" ht="15" hidden="false" customHeight="false" outlineLevel="0" collapsed="false">
      <c r="A54" s="3" t="n">
        <v>53</v>
      </c>
      <c r="B54" s="3" t="n">
        <f aca="false">COUNTIFS(Events!$B$2:$B$252,2024,Events!$C$2:$C$252,53)</f>
        <v>0</v>
      </c>
      <c r="C54" s="10" t="n">
        <f aca="false">SUMIFS(Events!$K$2:$K$252,Events!$B$2:$B$252,2024,Events!$C$2:$C$252,53)</f>
        <v>0</v>
      </c>
      <c r="D54" s="3" t="n">
        <f aca="false">COUNTIFS(Events!$B$2:$B$252,2025,Events!$C$2:$C$252,53)</f>
        <v>0</v>
      </c>
      <c r="E54" s="10" t="n">
        <f aca="false">SUMIFS(Events!$K$2:$K$252,Events!$B$2:$B$252,2025,Events!$C$2:$C$252,53)</f>
        <v>0</v>
      </c>
      <c r="F54" s="3" t="n">
        <f aca="false">COUNTIFS(Events!$B$2:$B$252,2026,Events!$C$2:$C$252,53)</f>
        <v>2</v>
      </c>
      <c r="G54" s="10" t="n">
        <f aca="false">SUMIFS(Events!$K$2:$K$252,Events!$B$2:$B$252,2026,Events!$C$2:$C$252,53)</f>
        <v>33916</v>
      </c>
      <c r="H54" s="3" t="n">
        <f aca="false">F54-F53</f>
        <v>2</v>
      </c>
      <c r="I54" s="3" t="n">
        <f aca="false">F54-D54</f>
        <v>2</v>
      </c>
      <c r="J54" s="10" t="n">
        <f aca="false">G54-E54</f>
        <v>33916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4" min="2" style="0" width="1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15"/>
    <col collapsed="false" customWidth="true" hidden="false" outlineLevel="0" max="9" min="8" style="0" width="16"/>
    <col collapsed="false" customWidth="true" hidden="false" outlineLevel="0" max="10" min="10" style="0" width="17"/>
    <col collapsed="false" customWidth="true" hidden="false" outlineLevel="0" max="11" min="11" style="0" width="15"/>
    <col collapsed="false" customWidth="true" hidden="false" outlineLevel="0" max="12" min="12" style="0" width="16"/>
  </cols>
  <sheetData>
    <row r="1" customFormat="false" ht="35.05" hidden="false" customHeight="false" outlineLevel="0" collapsed="false">
      <c r="A1" s="1" t="s">
        <v>2</v>
      </c>
      <c r="B1" s="1" t="s">
        <v>403</v>
      </c>
      <c r="C1" s="1" t="s">
        <v>404</v>
      </c>
      <c r="D1" s="1" t="s">
        <v>405</v>
      </c>
      <c r="E1" s="1" t="s">
        <v>406</v>
      </c>
      <c r="F1" s="1" t="s">
        <v>407</v>
      </c>
      <c r="G1" s="1" t="s">
        <v>408</v>
      </c>
      <c r="H1" s="1" t="s">
        <v>409</v>
      </c>
      <c r="I1" s="1" t="s">
        <v>410</v>
      </c>
      <c r="J1" s="1" t="s">
        <v>411</v>
      </c>
      <c r="K1" s="1" t="s">
        <v>412</v>
      </c>
      <c r="L1" s="1" t="s">
        <v>413</v>
      </c>
    </row>
    <row r="2" customFormat="false" ht="15" hidden="false" customHeight="false" outlineLevel="0" collapsed="false">
      <c r="A2" s="3" t="n">
        <v>32</v>
      </c>
      <c r="B2" s="3" t="n">
        <f aca="false">'Weekly Summary'!B33</f>
        <v>0</v>
      </c>
      <c r="C2" s="3" t="n">
        <f aca="false">'Weekly Summary'!D33</f>
        <v>1</v>
      </c>
      <c r="D2" s="3" t="n">
        <f aca="false">ROUND(AVERAGE(B2:C2),1)</f>
        <v>0.5</v>
      </c>
      <c r="E2" s="3" t="n">
        <f aca="false">'Weekly Summary'!F33</f>
        <v>0</v>
      </c>
      <c r="F2" s="3" t="n">
        <f aca="false">MAX(D2-E2,0)</f>
        <v>0.5</v>
      </c>
      <c r="G2" s="3" t="n">
        <f aca="false">E2+F2</f>
        <v>0.5</v>
      </c>
      <c r="H2" s="10" t="n">
        <f aca="false">'Weekly Summary'!C33</f>
        <v>0</v>
      </c>
      <c r="I2" s="10" t="n">
        <f aca="false">'Weekly Summary'!E33</f>
        <v>0</v>
      </c>
      <c r="J2" s="10" t="n">
        <f aca="false">ROUND(AVERAGE(H2:I2),0)</f>
        <v>0</v>
      </c>
      <c r="K2" s="10" t="n">
        <f aca="false">'Weekly Summary'!G33</f>
        <v>0</v>
      </c>
      <c r="L2" s="10" t="n">
        <f aca="false">IF(K2&gt;0,K2,J2)</f>
        <v>0</v>
      </c>
    </row>
    <row r="3" customFormat="false" ht="15" hidden="false" customHeight="false" outlineLevel="0" collapsed="false">
      <c r="A3" s="3" t="n">
        <v>33</v>
      </c>
      <c r="B3" s="3" t="n">
        <f aca="false">'Weekly Summary'!B34</f>
        <v>0</v>
      </c>
      <c r="C3" s="3" t="n">
        <f aca="false">'Weekly Summary'!D34</f>
        <v>0</v>
      </c>
      <c r="D3" s="3" t="n">
        <f aca="false">ROUND(AVERAGE(B3:C3),1)</f>
        <v>0</v>
      </c>
      <c r="E3" s="3" t="n">
        <f aca="false">'Weekly Summary'!F34</f>
        <v>2</v>
      </c>
      <c r="F3" s="3" t="n">
        <f aca="false">MAX(D3-E3,0)</f>
        <v>0</v>
      </c>
      <c r="G3" s="3" t="n">
        <f aca="false">E3+F3</f>
        <v>2</v>
      </c>
      <c r="H3" s="10" t="n">
        <f aca="false">'Weekly Summary'!C34</f>
        <v>0</v>
      </c>
      <c r="I3" s="10" t="n">
        <f aca="false">'Weekly Summary'!E34</f>
        <v>0</v>
      </c>
      <c r="J3" s="10" t="n">
        <f aca="false">ROUND(AVERAGE(H3:I3),0)</f>
        <v>0</v>
      </c>
      <c r="K3" s="10" t="n">
        <f aca="false">'Weekly Summary'!G34</f>
        <v>0</v>
      </c>
      <c r="L3" s="10" t="n">
        <f aca="false">IF(K3&gt;0,K3,J3)</f>
        <v>0</v>
      </c>
    </row>
    <row r="4" customFormat="false" ht="15" hidden="false" customHeight="false" outlineLevel="0" collapsed="false">
      <c r="A4" s="3" t="n">
        <v>34</v>
      </c>
      <c r="B4" s="3" t="n">
        <f aca="false">'Weekly Summary'!B35</f>
        <v>1</v>
      </c>
      <c r="C4" s="3" t="n">
        <f aca="false">'Weekly Summary'!D35</f>
        <v>1</v>
      </c>
      <c r="D4" s="3" t="n">
        <f aca="false">ROUND(AVERAGE(B4:C4),1)</f>
        <v>1</v>
      </c>
      <c r="E4" s="3" t="n">
        <f aca="false">'Weekly Summary'!F35</f>
        <v>2</v>
      </c>
      <c r="F4" s="3" t="n">
        <f aca="false">MAX(D4-E4,0)</f>
        <v>0</v>
      </c>
      <c r="G4" s="3" t="n">
        <f aca="false">E4+F4</f>
        <v>2</v>
      </c>
      <c r="H4" s="10" t="n">
        <f aca="false">'Weekly Summary'!C35</f>
        <v>0</v>
      </c>
      <c r="I4" s="10" t="n">
        <f aca="false">'Weekly Summary'!E35</f>
        <v>20777</v>
      </c>
      <c r="J4" s="10" t="n">
        <f aca="false">ROUND(AVERAGE(H4:I4),0)</f>
        <v>10389</v>
      </c>
      <c r="K4" s="10" t="n">
        <f aca="false">'Weekly Summary'!G35</f>
        <v>0</v>
      </c>
      <c r="L4" s="10" t="n">
        <f aca="false">IF(K4&gt;0,K4,J4)</f>
        <v>10389</v>
      </c>
    </row>
    <row r="5" customFormat="false" ht="15" hidden="false" customHeight="false" outlineLevel="0" collapsed="false">
      <c r="A5" s="3" t="n">
        <v>35</v>
      </c>
      <c r="B5" s="3" t="n">
        <f aca="false">'Weekly Summary'!B36</f>
        <v>2</v>
      </c>
      <c r="C5" s="3" t="n">
        <f aca="false">'Weekly Summary'!D36</f>
        <v>1</v>
      </c>
      <c r="D5" s="3" t="n">
        <f aca="false">ROUND(AVERAGE(B5:C5),1)</f>
        <v>1.5</v>
      </c>
      <c r="E5" s="3" t="n">
        <f aca="false">'Weekly Summary'!F36</f>
        <v>1</v>
      </c>
      <c r="F5" s="3" t="n">
        <f aca="false">MAX(D5-E5,0)</f>
        <v>0.5</v>
      </c>
      <c r="G5" s="3" t="n">
        <f aca="false">E5+F5</f>
        <v>1.5</v>
      </c>
      <c r="H5" s="10" t="n">
        <f aca="false">'Weekly Summary'!C36</f>
        <v>122629</v>
      </c>
      <c r="I5" s="10" t="n">
        <f aca="false">'Weekly Summary'!E36</f>
        <v>95995</v>
      </c>
      <c r="J5" s="10" t="n">
        <f aca="false">ROUND(AVERAGE(H5:I5),0)</f>
        <v>109312</v>
      </c>
      <c r="K5" s="10" t="n">
        <f aca="false">'Weekly Summary'!G36</f>
        <v>0</v>
      </c>
      <c r="L5" s="10" t="n">
        <f aca="false">IF(K5&gt;0,K5,J5)</f>
        <v>109312</v>
      </c>
    </row>
    <row r="6" customFormat="false" ht="15" hidden="false" customHeight="false" outlineLevel="0" collapsed="false">
      <c r="A6" s="3" t="n">
        <v>36</v>
      </c>
      <c r="B6" s="3" t="n">
        <f aca="false">'Weekly Summary'!B37</f>
        <v>3</v>
      </c>
      <c r="C6" s="3" t="n">
        <f aca="false">'Weekly Summary'!D37</f>
        <v>1</v>
      </c>
      <c r="D6" s="3" t="n">
        <f aca="false">ROUND(AVERAGE(B6:C6),1)</f>
        <v>2</v>
      </c>
      <c r="E6" s="3" t="n">
        <f aca="false">'Weekly Summary'!F37</f>
        <v>3</v>
      </c>
      <c r="F6" s="3" t="n">
        <f aca="false">MAX(D6-E6,0)</f>
        <v>0</v>
      </c>
      <c r="G6" s="3" t="n">
        <f aca="false">E6+F6</f>
        <v>3</v>
      </c>
      <c r="H6" s="10" t="n">
        <f aca="false">'Weekly Summary'!C37</f>
        <v>123188</v>
      </c>
      <c r="I6" s="10" t="n">
        <f aca="false">'Weekly Summary'!E37</f>
        <v>81165</v>
      </c>
      <c r="J6" s="10" t="n">
        <f aca="false">ROUND(AVERAGE(H6:I6),0)</f>
        <v>102177</v>
      </c>
      <c r="K6" s="10" t="n">
        <f aca="false">'Weekly Summary'!G37</f>
        <v>0</v>
      </c>
      <c r="L6" s="10" t="n">
        <f aca="false">IF(K6&gt;0,K6,J6)</f>
        <v>102177</v>
      </c>
    </row>
    <row r="7" customFormat="false" ht="15" hidden="false" customHeight="false" outlineLevel="0" collapsed="false">
      <c r="A7" s="3" t="n">
        <v>37</v>
      </c>
      <c r="B7" s="3" t="n">
        <f aca="false">'Weekly Summary'!B38</f>
        <v>1</v>
      </c>
      <c r="C7" s="3" t="n">
        <f aca="false">'Weekly Summary'!D38</f>
        <v>1</v>
      </c>
      <c r="D7" s="3" t="n">
        <f aca="false">ROUND(AVERAGE(B7:C7),1)</f>
        <v>1</v>
      </c>
      <c r="E7" s="3" t="n">
        <f aca="false">'Weekly Summary'!F38</f>
        <v>1</v>
      </c>
      <c r="F7" s="3" t="n">
        <f aca="false">MAX(D7-E7,0)</f>
        <v>0</v>
      </c>
      <c r="G7" s="3" t="n">
        <f aca="false">E7+F7</f>
        <v>1</v>
      </c>
      <c r="H7" s="10" t="n">
        <f aca="false">'Weekly Summary'!C38</f>
        <v>0</v>
      </c>
      <c r="I7" s="10" t="n">
        <f aca="false">'Weekly Summary'!E38</f>
        <v>93731</v>
      </c>
      <c r="J7" s="10" t="n">
        <f aca="false">ROUND(AVERAGE(H7:I7),0)</f>
        <v>46866</v>
      </c>
      <c r="K7" s="10" t="n">
        <f aca="false">'Weekly Summary'!G38</f>
        <v>0</v>
      </c>
      <c r="L7" s="10" t="n">
        <f aca="false">IF(K7&gt;0,K7,J7)</f>
        <v>46866</v>
      </c>
    </row>
    <row r="8" customFormat="false" ht="15" hidden="false" customHeight="false" outlineLevel="0" collapsed="false">
      <c r="A8" s="3" t="n">
        <v>38</v>
      </c>
      <c r="B8" s="3" t="n">
        <f aca="false">'Weekly Summary'!B39</f>
        <v>2</v>
      </c>
      <c r="C8" s="3" t="n">
        <f aca="false">'Weekly Summary'!D39</f>
        <v>1</v>
      </c>
      <c r="D8" s="3" t="n">
        <f aca="false">ROUND(AVERAGE(B8:C8),1)</f>
        <v>1.5</v>
      </c>
      <c r="E8" s="3" t="n">
        <f aca="false">'Weekly Summary'!F39</f>
        <v>2</v>
      </c>
      <c r="F8" s="3" t="n">
        <f aca="false">MAX(D8-E8,0)</f>
        <v>0</v>
      </c>
      <c r="G8" s="3" t="n">
        <f aca="false">E8+F8</f>
        <v>2</v>
      </c>
      <c r="H8" s="10" t="n">
        <f aca="false">'Weekly Summary'!C39</f>
        <v>124739</v>
      </c>
      <c r="I8" s="10" t="n">
        <f aca="false">'Weekly Summary'!E39</f>
        <v>20739</v>
      </c>
      <c r="J8" s="10" t="n">
        <f aca="false">ROUND(AVERAGE(H8:I8),0)</f>
        <v>72739</v>
      </c>
      <c r="K8" s="10" t="n">
        <f aca="false">'Weekly Summary'!G39</f>
        <v>0</v>
      </c>
      <c r="L8" s="10" t="n">
        <f aca="false">IF(K8&gt;0,K8,J8)</f>
        <v>72739</v>
      </c>
    </row>
    <row r="9" customFormat="false" ht="15" hidden="false" customHeight="false" outlineLevel="0" collapsed="false">
      <c r="A9" s="3" t="n">
        <v>39</v>
      </c>
      <c r="B9" s="3" t="n">
        <f aca="false">'Weekly Summary'!B40</f>
        <v>0</v>
      </c>
      <c r="C9" s="3" t="n">
        <f aca="false">'Weekly Summary'!D40</f>
        <v>1</v>
      </c>
      <c r="D9" s="3" t="n">
        <f aca="false">ROUND(AVERAGE(B9:C9),1)</f>
        <v>0.5</v>
      </c>
      <c r="E9" s="3" t="n">
        <f aca="false">'Weekly Summary'!F40</f>
        <v>2</v>
      </c>
      <c r="F9" s="3" t="n">
        <f aca="false">MAX(D9-E9,0)</f>
        <v>0</v>
      </c>
      <c r="G9" s="3" t="n">
        <f aca="false">E9+F9</f>
        <v>2</v>
      </c>
      <c r="H9" s="10" t="n">
        <f aca="false">'Weekly Summary'!C40</f>
        <v>0</v>
      </c>
      <c r="I9" s="10" t="n">
        <f aca="false">'Weekly Summary'!E40</f>
        <v>0</v>
      </c>
      <c r="J9" s="10" t="n">
        <f aca="false">ROUND(AVERAGE(H9:I9),0)</f>
        <v>0</v>
      </c>
      <c r="K9" s="10" t="n">
        <f aca="false">'Weekly Summary'!G40</f>
        <v>0</v>
      </c>
      <c r="L9" s="10" t="n">
        <f aca="false">IF(K9&gt;0,K9,J9)</f>
        <v>0</v>
      </c>
    </row>
    <row r="10" customFormat="false" ht="15" hidden="false" customHeight="false" outlineLevel="0" collapsed="false">
      <c r="A10" s="3" t="n">
        <v>40</v>
      </c>
      <c r="B10" s="3" t="n">
        <f aca="false">'Weekly Summary'!B41</f>
        <v>3</v>
      </c>
      <c r="C10" s="3" t="n">
        <f aca="false">'Weekly Summary'!D41</f>
        <v>1</v>
      </c>
      <c r="D10" s="3" t="n">
        <f aca="false">ROUND(AVERAGE(B10:C10),1)</f>
        <v>2</v>
      </c>
      <c r="E10" s="3" t="n">
        <f aca="false">'Weekly Summary'!F41</f>
        <v>0</v>
      </c>
      <c r="F10" s="3" t="n">
        <f aca="false">MAX(D10-E10,0)</f>
        <v>2</v>
      </c>
      <c r="G10" s="3" t="n">
        <f aca="false">E10+F10</f>
        <v>2</v>
      </c>
      <c r="H10" s="10" t="n">
        <f aca="false">'Weekly Summary'!C41</f>
        <v>146451</v>
      </c>
      <c r="I10" s="10" t="n">
        <f aca="false">'Weekly Summary'!E41</f>
        <v>91580</v>
      </c>
      <c r="J10" s="10" t="n">
        <f aca="false">ROUND(AVERAGE(H10:I10),0)</f>
        <v>119016</v>
      </c>
      <c r="K10" s="10" t="n">
        <f aca="false">'Weekly Summary'!G41</f>
        <v>0</v>
      </c>
      <c r="L10" s="10" t="n">
        <f aca="false">IF(K10&gt;0,K10,J10)</f>
        <v>119016</v>
      </c>
    </row>
    <row r="11" customFormat="false" ht="15" hidden="false" customHeight="false" outlineLevel="0" collapsed="false">
      <c r="A11" s="3" t="n">
        <v>41</v>
      </c>
      <c r="B11" s="3" t="n">
        <f aca="false">'Weekly Summary'!B42</f>
        <v>1</v>
      </c>
      <c r="C11" s="3" t="n">
        <f aca="false">'Weekly Summary'!D42</f>
        <v>0</v>
      </c>
      <c r="D11" s="3" t="n">
        <f aca="false">ROUND(AVERAGE(B11:C11),1)</f>
        <v>0.5</v>
      </c>
      <c r="E11" s="3" t="n">
        <f aca="false">'Weekly Summary'!F42</f>
        <v>1</v>
      </c>
      <c r="F11" s="3" t="n">
        <f aca="false">MAX(D11-E11,0)</f>
        <v>0</v>
      </c>
      <c r="G11" s="3" t="n">
        <f aca="false">E11+F11</f>
        <v>1</v>
      </c>
      <c r="H11" s="10" t="n">
        <f aca="false">'Weekly Summary'!C42</f>
        <v>20439</v>
      </c>
      <c r="I11" s="10" t="n">
        <f aca="false">'Weekly Summary'!E42</f>
        <v>0</v>
      </c>
      <c r="J11" s="10" t="n">
        <f aca="false">ROUND(AVERAGE(H11:I11),0)</f>
        <v>10220</v>
      </c>
      <c r="K11" s="10" t="n">
        <f aca="false">'Weekly Summary'!G42</f>
        <v>0</v>
      </c>
      <c r="L11" s="10" t="n">
        <f aca="false">IF(K11&gt;0,K11,J11)</f>
        <v>10220</v>
      </c>
    </row>
    <row r="12" customFormat="false" ht="15" hidden="false" customHeight="false" outlineLevel="0" collapsed="false">
      <c r="A12" s="3" t="n">
        <v>42</v>
      </c>
      <c r="B12" s="3" t="n">
        <f aca="false">'Weekly Summary'!B43</f>
        <v>4</v>
      </c>
      <c r="C12" s="3" t="n">
        <f aca="false">'Weekly Summary'!D43</f>
        <v>5</v>
      </c>
      <c r="D12" s="3" t="n">
        <f aca="false">ROUND(AVERAGE(B12:C12),1)</f>
        <v>4.5</v>
      </c>
      <c r="E12" s="3" t="n">
        <f aca="false">'Weekly Summary'!F43</f>
        <v>5</v>
      </c>
      <c r="F12" s="3" t="n">
        <f aca="false">MAX(D12-E12,0)</f>
        <v>0</v>
      </c>
      <c r="G12" s="3" t="n">
        <f aca="false">E12+F12</f>
        <v>5</v>
      </c>
      <c r="H12" s="10" t="n">
        <f aca="false">'Weekly Summary'!C43</f>
        <v>66486</v>
      </c>
      <c r="I12" s="10" t="n">
        <f aca="false">'Weekly Summary'!E43</f>
        <v>87434</v>
      </c>
      <c r="J12" s="10" t="n">
        <f aca="false">ROUND(AVERAGE(H12:I12),0)</f>
        <v>76960</v>
      </c>
      <c r="K12" s="10" t="n">
        <f aca="false">'Weekly Summary'!G43</f>
        <v>65874</v>
      </c>
      <c r="L12" s="10" t="n">
        <f aca="false">IF(K12&gt;0,K12,J12)</f>
        <v>65874</v>
      </c>
    </row>
    <row r="13" customFormat="false" ht="15" hidden="false" customHeight="false" outlineLevel="0" collapsed="false">
      <c r="A13" s="3" t="n">
        <v>43</v>
      </c>
      <c r="B13" s="3" t="n">
        <f aca="false">'Weekly Summary'!B44</f>
        <v>2</v>
      </c>
      <c r="C13" s="3" t="n">
        <f aca="false">'Weekly Summary'!D44</f>
        <v>1</v>
      </c>
      <c r="D13" s="3" t="n">
        <f aca="false">ROUND(AVERAGE(B13:C13),1)</f>
        <v>1.5</v>
      </c>
      <c r="E13" s="3" t="n">
        <f aca="false">'Weekly Summary'!F44</f>
        <v>2</v>
      </c>
      <c r="F13" s="3" t="n">
        <f aca="false">MAX(D13-E13,0)</f>
        <v>0</v>
      </c>
      <c r="G13" s="3" t="n">
        <f aca="false">E13+F13</f>
        <v>2</v>
      </c>
      <c r="H13" s="10" t="n">
        <f aca="false">'Weekly Summary'!C44</f>
        <v>119682</v>
      </c>
      <c r="I13" s="10" t="n">
        <f aca="false">'Weekly Summary'!E44</f>
        <v>17714</v>
      </c>
      <c r="J13" s="10" t="n">
        <f aca="false">ROUND(AVERAGE(H13:I13),0)</f>
        <v>68698</v>
      </c>
      <c r="K13" s="10" t="n">
        <f aca="false">'Weekly Summary'!G44</f>
        <v>16958</v>
      </c>
      <c r="L13" s="10" t="n">
        <f aca="false">IF(K13&gt;0,K13,J13)</f>
        <v>16958</v>
      </c>
    </row>
    <row r="14" customFormat="false" ht="15" hidden="false" customHeight="false" outlineLevel="0" collapsed="false">
      <c r="A14" s="3" t="n">
        <v>44</v>
      </c>
      <c r="B14" s="3" t="n">
        <f aca="false">'Weekly Summary'!B45</f>
        <v>3</v>
      </c>
      <c r="C14" s="3" t="n">
        <f aca="false">'Weekly Summary'!D45</f>
        <v>3</v>
      </c>
      <c r="D14" s="3" t="n">
        <f aca="false">ROUND(AVERAGE(B14:C14),1)</f>
        <v>3</v>
      </c>
      <c r="E14" s="3" t="n">
        <f aca="false">'Weekly Summary'!F45</f>
        <v>3</v>
      </c>
      <c r="F14" s="3" t="n">
        <f aca="false">MAX(D14-E14,0)</f>
        <v>0</v>
      </c>
      <c r="G14" s="3" t="n">
        <f aca="false">E14+F14</f>
        <v>3</v>
      </c>
      <c r="H14" s="10" t="n">
        <f aca="false">'Weekly Summary'!C45</f>
        <v>45075</v>
      </c>
      <c r="I14" s="10" t="n">
        <f aca="false">'Weekly Summary'!E45</f>
        <v>125651</v>
      </c>
      <c r="J14" s="10" t="n">
        <f aca="false">ROUND(AVERAGE(H14:I14),0)</f>
        <v>85363</v>
      </c>
      <c r="K14" s="10" t="n">
        <f aca="false">'Weekly Summary'!G45</f>
        <v>33916</v>
      </c>
      <c r="L14" s="10" t="n">
        <f aca="false">IF(K14&gt;0,K14,J14)</f>
        <v>33916</v>
      </c>
    </row>
    <row r="15" customFormat="false" ht="15" hidden="false" customHeight="false" outlineLevel="0" collapsed="false">
      <c r="A15" s="3" t="n">
        <v>45</v>
      </c>
      <c r="B15" s="3" t="n">
        <f aca="false">'Weekly Summary'!B46</f>
        <v>1</v>
      </c>
      <c r="C15" s="3" t="n">
        <f aca="false">'Weekly Summary'!D46</f>
        <v>1</v>
      </c>
      <c r="D15" s="3" t="n">
        <f aca="false">ROUND(AVERAGE(B15:C15),1)</f>
        <v>1</v>
      </c>
      <c r="E15" s="3" t="n">
        <f aca="false">'Weekly Summary'!F46</f>
        <v>1</v>
      </c>
      <c r="F15" s="3" t="n">
        <f aca="false">MAX(D15-E15,0)</f>
        <v>0</v>
      </c>
      <c r="G15" s="3" t="n">
        <f aca="false">E15+F15</f>
        <v>1</v>
      </c>
      <c r="H15" s="10" t="n">
        <f aca="false">'Weekly Summary'!C46</f>
        <v>103463</v>
      </c>
      <c r="I15" s="10" t="n">
        <f aca="false">'Weekly Summary'!E46</f>
        <v>0</v>
      </c>
      <c r="J15" s="10" t="n">
        <f aca="false">ROUND(AVERAGE(H15:I15),0)</f>
        <v>51732</v>
      </c>
      <c r="K15" s="10" t="n">
        <f aca="false">'Weekly Summary'!G46</f>
        <v>0</v>
      </c>
      <c r="L15" s="10" t="n">
        <f aca="false">IF(K15&gt;0,K15,J15)</f>
        <v>51732</v>
      </c>
    </row>
    <row r="16" customFormat="false" ht="15" hidden="false" customHeight="false" outlineLevel="0" collapsed="false">
      <c r="A16" s="3" t="n">
        <v>46</v>
      </c>
      <c r="B16" s="3" t="n">
        <f aca="false">'Weekly Summary'!B47</f>
        <v>1</v>
      </c>
      <c r="C16" s="3" t="n">
        <f aca="false">'Weekly Summary'!D47</f>
        <v>4</v>
      </c>
      <c r="D16" s="3" t="n">
        <f aca="false">ROUND(AVERAGE(B16:C16),1)</f>
        <v>2.5</v>
      </c>
      <c r="E16" s="3" t="n">
        <f aca="false">'Weekly Summary'!F47</f>
        <v>3</v>
      </c>
      <c r="F16" s="3" t="n">
        <f aca="false">MAX(D16-E16,0)</f>
        <v>0</v>
      </c>
      <c r="G16" s="3" t="n">
        <f aca="false">E16+F16</f>
        <v>3</v>
      </c>
      <c r="H16" s="10" t="n">
        <f aca="false">'Weekly Summary'!C47</f>
        <v>18348</v>
      </c>
      <c r="I16" s="10" t="n">
        <f aca="false">'Weekly Summary'!E47</f>
        <v>124296</v>
      </c>
      <c r="J16" s="10" t="n">
        <f aca="false">ROUND(AVERAGE(H16:I16),0)</f>
        <v>71322</v>
      </c>
      <c r="K16" s="10" t="n">
        <f aca="false">'Weekly Summary'!G47</f>
        <v>33916</v>
      </c>
      <c r="L16" s="10" t="n">
        <f aca="false">IF(K16&gt;0,K16,J16)</f>
        <v>33916</v>
      </c>
    </row>
    <row r="17" customFormat="false" ht="15" hidden="false" customHeight="false" outlineLevel="0" collapsed="false">
      <c r="A17" s="3" t="n">
        <v>47</v>
      </c>
      <c r="B17" s="3" t="n">
        <f aca="false">'Weekly Summary'!B48</f>
        <v>3</v>
      </c>
      <c r="C17" s="3" t="n">
        <f aca="false">'Weekly Summary'!D48</f>
        <v>2</v>
      </c>
      <c r="D17" s="3" t="n">
        <f aca="false">ROUND(AVERAGE(B17:C17),1)</f>
        <v>2.5</v>
      </c>
      <c r="E17" s="3" t="n">
        <f aca="false">'Weekly Summary'!F48</f>
        <v>1</v>
      </c>
      <c r="F17" s="3" t="n">
        <f aca="false">MAX(D17-E17,0)</f>
        <v>1.5</v>
      </c>
      <c r="G17" s="3" t="n">
        <f aca="false">E17+F17</f>
        <v>2.5</v>
      </c>
      <c r="H17" s="10" t="n">
        <f aca="false">'Weekly Summary'!C48</f>
        <v>138024</v>
      </c>
      <c r="I17" s="10" t="n">
        <f aca="false">'Weekly Summary'!E48</f>
        <v>90557</v>
      </c>
      <c r="J17" s="10" t="n">
        <f aca="false">ROUND(AVERAGE(H17:I17),0)</f>
        <v>114291</v>
      </c>
      <c r="K17" s="10" t="n">
        <f aca="false">'Weekly Summary'!G48</f>
        <v>16958</v>
      </c>
      <c r="L17" s="10" t="n">
        <f aca="false">IF(K17&gt;0,K17,J17)</f>
        <v>16958</v>
      </c>
    </row>
    <row r="18" customFormat="false" ht="15" hidden="false" customHeight="false" outlineLevel="0" collapsed="false">
      <c r="A18" s="3" t="n">
        <v>48</v>
      </c>
      <c r="B18" s="3" t="n">
        <f aca="false">'Weekly Summary'!B49</f>
        <v>3</v>
      </c>
      <c r="C18" s="3" t="n">
        <f aca="false">'Weekly Summary'!D49</f>
        <v>2</v>
      </c>
      <c r="D18" s="3" t="n">
        <f aca="false">ROUND(AVERAGE(B18:C18),1)</f>
        <v>2.5</v>
      </c>
      <c r="E18" s="3" t="n">
        <f aca="false">'Weekly Summary'!F49</f>
        <v>3</v>
      </c>
      <c r="F18" s="3" t="n">
        <f aca="false">MAX(D18-E18,0)</f>
        <v>0</v>
      </c>
      <c r="G18" s="3" t="n">
        <f aca="false">E18+F18</f>
        <v>3</v>
      </c>
      <c r="H18" s="10" t="n">
        <f aca="false">'Weekly Summary'!C49</f>
        <v>138525</v>
      </c>
      <c r="I18" s="10" t="n">
        <f aca="false">'Weekly Summary'!E49</f>
        <v>34826</v>
      </c>
      <c r="J18" s="10" t="n">
        <f aca="false">ROUND(AVERAGE(H18:I18),0)</f>
        <v>86676</v>
      </c>
      <c r="K18" s="10" t="n">
        <f aca="false">'Weekly Summary'!G49</f>
        <v>33916</v>
      </c>
      <c r="L18" s="10" t="n">
        <f aca="false">IF(K18&gt;0,K18,J18)</f>
        <v>33916</v>
      </c>
    </row>
    <row r="19" customFormat="false" ht="15" hidden="false" customHeight="false" outlineLevel="0" collapsed="false">
      <c r="A19" s="3" t="n">
        <v>49</v>
      </c>
      <c r="B19" s="3" t="n">
        <f aca="false">'Weekly Summary'!B50</f>
        <v>1</v>
      </c>
      <c r="C19" s="3" t="n">
        <f aca="false">'Weekly Summary'!D50</f>
        <v>2</v>
      </c>
      <c r="D19" s="3" t="n">
        <f aca="false">ROUND(AVERAGE(B19:C19),1)</f>
        <v>1.5</v>
      </c>
      <c r="E19" s="3" t="n">
        <f aca="false">'Weekly Summary'!F50</f>
        <v>2</v>
      </c>
      <c r="F19" s="3" t="n">
        <f aca="false">MAX(D19-E19,0)</f>
        <v>0</v>
      </c>
      <c r="G19" s="3" t="n">
        <f aca="false">E19+F19</f>
        <v>2</v>
      </c>
      <c r="H19" s="10" t="n">
        <f aca="false">'Weekly Summary'!C50</f>
        <v>0</v>
      </c>
      <c r="I19" s="10" t="n">
        <f aca="false">'Weekly Summary'!E50</f>
        <v>16818</v>
      </c>
      <c r="J19" s="10" t="n">
        <f aca="false">ROUND(AVERAGE(H19:I19),0)</f>
        <v>8409</v>
      </c>
      <c r="K19" s="10" t="n">
        <f aca="false">'Weekly Summary'!G50</f>
        <v>16958</v>
      </c>
      <c r="L19" s="10" t="n">
        <f aca="false">IF(K19&gt;0,K19,J19)</f>
        <v>16958</v>
      </c>
    </row>
    <row r="20" customFormat="false" ht="15" hidden="false" customHeight="false" outlineLevel="0" collapsed="false">
      <c r="A20" s="3" t="n">
        <v>50</v>
      </c>
      <c r="B20" s="3" t="n">
        <f aca="false">'Weekly Summary'!B51</f>
        <v>3</v>
      </c>
      <c r="C20" s="3" t="n">
        <f aca="false">'Weekly Summary'!D51</f>
        <v>2</v>
      </c>
      <c r="D20" s="3" t="n">
        <f aca="false">ROUND(AVERAGE(B20:C20),1)</f>
        <v>2.5</v>
      </c>
      <c r="E20" s="3" t="n">
        <f aca="false">'Weekly Summary'!F51</f>
        <v>2</v>
      </c>
      <c r="F20" s="3" t="n">
        <f aca="false">MAX(D20-E20,0)</f>
        <v>0.5</v>
      </c>
      <c r="G20" s="3" t="n">
        <f aca="false">E20+F20</f>
        <v>2.5</v>
      </c>
      <c r="H20" s="10" t="n">
        <f aca="false">'Weekly Summary'!C51</f>
        <v>49092</v>
      </c>
      <c r="I20" s="10" t="n">
        <f aca="false">'Weekly Summary'!E51</f>
        <v>32024</v>
      </c>
      <c r="J20" s="10" t="n">
        <f aca="false">ROUND(AVERAGE(H20:I20),0)</f>
        <v>40558</v>
      </c>
      <c r="K20" s="10" t="n">
        <f aca="false">'Weekly Summary'!G51</f>
        <v>33916</v>
      </c>
      <c r="L20" s="10" t="n">
        <f aca="false">IF(K20&gt;0,K20,J20)</f>
        <v>33916</v>
      </c>
    </row>
    <row r="21" customFormat="false" ht="15" hidden="false" customHeight="false" outlineLevel="0" collapsed="false">
      <c r="A21" s="3" t="n">
        <v>51</v>
      </c>
      <c r="B21" s="3" t="n">
        <f aca="false">'Weekly Summary'!B52</f>
        <v>1</v>
      </c>
      <c r="C21" s="3" t="n">
        <f aca="false">'Weekly Summary'!D52</f>
        <v>2</v>
      </c>
      <c r="D21" s="3" t="n">
        <f aca="false">ROUND(AVERAGE(B21:C21),1)</f>
        <v>1.5</v>
      </c>
      <c r="E21" s="3" t="n">
        <f aca="false">'Weekly Summary'!F52</f>
        <v>2</v>
      </c>
      <c r="F21" s="3" t="n">
        <f aca="false">MAX(D21-E21,0)</f>
        <v>0</v>
      </c>
      <c r="G21" s="3" t="n">
        <f aca="false">E21+F21</f>
        <v>2</v>
      </c>
      <c r="H21" s="10" t="n">
        <f aca="false">'Weekly Summary'!C52</f>
        <v>15793</v>
      </c>
      <c r="I21" s="10" t="n">
        <f aca="false">'Weekly Summary'!E52</f>
        <v>28965</v>
      </c>
      <c r="J21" s="10" t="n">
        <f aca="false">ROUND(AVERAGE(H21:I21),0)</f>
        <v>22379</v>
      </c>
      <c r="K21" s="10" t="n">
        <f aca="false">'Weekly Summary'!G52</f>
        <v>33916</v>
      </c>
      <c r="L21" s="10" t="n">
        <f aca="false">IF(K21&gt;0,K21,J21)</f>
        <v>33916</v>
      </c>
    </row>
    <row r="22" customFormat="false" ht="15" hidden="false" customHeight="false" outlineLevel="0" collapsed="false">
      <c r="A22" s="3" t="n">
        <v>52</v>
      </c>
      <c r="B22" s="3" t="n">
        <f aca="false">'Weekly Summary'!B53</f>
        <v>2</v>
      </c>
      <c r="C22" s="3" t="n">
        <f aca="false">'Weekly Summary'!D53</f>
        <v>1</v>
      </c>
      <c r="D22" s="3" t="n">
        <f aca="false">ROUND(AVERAGE(B22:C22),1)</f>
        <v>1.5</v>
      </c>
      <c r="E22" s="3" t="n">
        <f aca="false">'Weekly Summary'!F53</f>
        <v>0</v>
      </c>
      <c r="F22" s="3" t="n">
        <f aca="false">MAX(D22-E22,0)</f>
        <v>1.5</v>
      </c>
      <c r="G22" s="3" t="n">
        <f aca="false">E22+F22</f>
        <v>1.5</v>
      </c>
      <c r="H22" s="10" t="n">
        <f aca="false">'Weekly Summary'!C53</f>
        <v>36696</v>
      </c>
      <c r="I22" s="10" t="n">
        <f aca="false">'Weekly Summary'!E53</f>
        <v>18223</v>
      </c>
      <c r="J22" s="10" t="n">
        <f aca="false">ROUND(AVERAGE(H22:I22),0)</f>
        <v>27460</v>
      </c>
      <c r="K22" s="10" t="n">
        <f aca="false">'Weekly Summary'!G53</f>
        <v>0</v>
      </c>
      <c r="L22" s="10" t="n">
        <f aca="false">IF(K22&gt;0,K22,J22)</f>
        <v>27460</v>
      </c>
    </row>
    <row r="23" customFormat="false" ht="15" hidden="false" customHeight="false" outlineLevel="0" collapsed="false">
      <c r="A23" s="3" t="n">
        <v>53</v>
      </c>
      <c r="B23" s="3" t="n">
        <f aca="false">'Weekly Summary'!B54</f>
        <v>0</v>
      </c>
      <c r="C23" s="3" t="n">
        <f aca="false">'Weekly Summary'!D54</f>
        <v>0</v>
      </c>
      <c r="D23" s="3" t="n">
        <f aca="false">ROUND(AVERAGE(B23:C23),1)</f>
        <v>0</v>
      </c>
      <c r="E23" s="3" t="n">
        <f aca="false">'Weekly Summary'!F54</f>
        <v>2</v>
      </c>
      <c r="F23" s="3" t="n">
        <f aca="false">MAX(D23-E23,0)</f>
        <v>0</v>
      </c>
      <c r="G23" s="3" t="n">
        <f aca="false">E23+F23</f>
        <v>2</v>
      </c>
      <c r="H23" s="10" t="n">
        <f aca="false">'Weekly Summary'!C54</f>
        <v>0</v>
      </c>
      <c r="I23" s="10" t="n">
        <f aca="false">'Weekly Summary'!E54</f>
        <v>0</v>
      </c>
      <c r="J23" s="10" t="n">
        <f aca="false">ROUND(AVERAGE(H23:I23),0)</f>
        <v>0</v>
      </c>
      <c r="K23" s="10" t="n">
        <f aca="false">'Weekly Summary'!G54</f>
        <v>33916</v>
      </c>
      <c r="L23" s="10" t="n">
        <f aca="false">IF(K23&gt;0,K23,J23)</f>
        <v>33916</v>
      </c>
    </row>
    <row r="25" customFormat="false" ht="60" hidden="false" customHeight="true" outlineLevel="0" collapsed="false">
      <c r="A25" s="11" t="s">
        <v>414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</sheetData>
  <mergeCells count="1">
    <mergeCell ref="A25:L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00"/>
  </cols>
  <sheetData>
    <row r="1" customFormat="false" ht="15" hidden="false" customHeight="false" outlineLevel="0" collapsed="false">
      <c r="A1" s="12" t="s">
        <v>415</v>
      </c>
      <c r="B1" s="12" t="s">
        <v>416</v>
      </c>
    </row>
    <row r="2" customFormat="false" ht="35.05" hidden="false" customHeight="false" outlineLevel="0" collapsed="false">
      <c r="A2" s="13" t="s">
        <v>417</v>
      </c>
      <c r="B2" s="14" t="s">
        <v>418</v>
      </c>
    </row>
    <row r="3" customFormat="false" ht="23.85" hidden="false" customHeight="false" outlineLevel="0" collapsed="false">
      <c r="A3" s="13" t="s">
        <v>419</v>
      </c>
      <c r="B3" s="14" t="s">
        <v>420</v>
      </c>
    </row>
    <row r="4" customFormat="false" ht="35.05" hidden="false" customHeight="false" outlineLevel="0" collapsed="false">
      <c r="A4" s="13" t="s">
        <v>421</v>
      </c>
      <c r="B4" s="14" t="s">
        <v>422</v>
      </c>
    </row>
    <row r="5" customFormat="false" ht="23.85" hidden="false" customHeight="false" outlineLevel="0" collapsed="false">
      <c r="A5" s="13" t="s">
        <v>423</v>
      </c>
      <c r="B5" s="14" t="s">
        <v>424</v>
      </c>
    </row>
    <row r="6" customFormat="false" ht="23.85" hidden="false" customHeight="false" outlineLevel="0" collapsed="false">
      <c r="A6" s="13" t="s">
        <v>425</v>
      </c>
      <c r="B6" s="14" t="s">
        <v>426</v>
      </c>
    </row>
    <row r="7" customFormat="false" ht="23.85" hidden="false" customHeight="false" outlineLevel="0" collapsed="false">
      <c r="A7" s="13" t="s">
        <v>427</v>
      </c>
      <c r="B7" s="14" t="s">
        <v>428</v>
      </c>
    </row>
    <row r="8" customFormat="false" ht="23.85" hidden="false" customHeight="false" outlineLevel="0" collapsed="false">
      <c r="A8" s="13" t="s">
        <v>429</v>
      </c>
      <c r="B8" s="14" t="s">
        <v>430</v>
      </c>
    </row>
    <row r="9" customFormat="false" ht="23.85" hidden="false" customHeight="false" outlineLevel="0" collapsed="false">
      <c r="A9" s="13" t="s">
        <v>431</v>
      </c>
      <c r="B9" s="14" t="s">
        <v>432</v>
      </c>
    </row>
    <row r="10" customFormat="false" ht="23.85" hidden="false" customHeight="false" outlineLevel="0" collapsed="false">
      <c r="A10" s="13" t="s">
        <v>433</v>
      </c>
      <c r="B10" s="14" t="s">
        <v>434</v>
      </c>
    </row>
    <row r="11" customFormat="false" ht="23.85" hidden="false" customHeight="false" outlineLevel="0" collapsed="false">
      <c r="A11" s="13" t="s">
        <v>435</v>
      </c>
      <c r="B11" s="14" t="s">
        <v>436</v>
      </c>
    </row>
    <row r="12" customFormat="false" ht="46.25" hidden="false" customHeight="false" outlineLevel="0" collapsed="false">
      <c r="A12" s="13" t="s">
        <v>437</v>
      </c>
      <c r="B12" s="14" t="s">
        <v>438</v>
      </c>
    </row>
    <row r="13" customFormat="false" ht="35.05" hidden="false" customHeight="false" outlineLevel="0" collapsed="false">
      <c r="A13" s="13" t="s">
        <v>439</v>
      </c>
      <c r="B13" s="14" t="s">
        <v>440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9"/>
    <col collapsed="false" customWidth="true" hidden="false" outlineLevel="0" max="4" min="3" style="0" width="13"/>
    <col collapsed="false" customWidth="true" hidden="false" outlineLevel="0" max="6" min="5" style="0" width="12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10" min="9" style="0" width="16"/>
    <col collapsed="false" customWidth="true" hidden="false" outlineLevel="0" max="11" min="11" style="0" width="17"/>
  </cols>
  <sheetData>
    <row r="1" customFormat="false" ht="23.85" hidden="false" customHeight="false" outlineLevel="0" collapsed="false">
      <c r="A1" s="1" t="s">
        <v>1</v>
      </c>
      <c r="B1" s="1" t="s">
        <v>2</v>
      </c>
      <c r="C1" s="1" t="s">
        <v>3</v>
      </c>
      <c r="D1" s="1" t="s">
        <v>441</v>
      </c>
      <c r="E1" s="1" t="s">
        <v>442</v>
      </c>
      <c r="F1" s="1" t="s">
        <v>443</v>
      </c>
      <c r="G1" s="1" t="s">
        <v>444</v>
      </c>
      <c r="H1" s="1" t="s">
        <v>445</v>
      </c>
      <c r="I1" s="1" t="s">
        <v>446</v>
      </c>
      <c r="J1" s="1" t="s">
        <v>447</v>
      </c>
      <c r="K1" s="1" t="s">
        <v>448</v>
      </c>
    </row>
    <row r="2" customFormat="false" ht="15" hidden="false" customHeight="false" outlineLevel="0" collapsed="false">
      <c r="A2" s="3" t="n">
        <v>2024</v>
      </c>
      <c r="B2" s="3" t="n">
        <v>1</v>
      </c>
      <c r="C2" s="3" t="s">
        <v>449</v>
      </c>
      <c r="D2" s="3" t="n">
        <v>7</v>
      </c>
      <c r="E2" s="15" t="n">
        <v>37.6</v>
      </c>
      <c r="F2" s="15" t="n">
        <v>26.6</v>
      </c>
      <c r="G2" s="15" t="n">
        <v>0.28</v>
      </c>
      <c r="H2" s="15" t="n">
        <v>1.8</v>
      </c>
      <c r="I2" s="15" t="n">
        <v>42</v>
      </c>
      <c r="J2" s="15" t="n">
        <v>19.9</v>
      </c>
      <c r="K2" s="3" t="n">
        <v>0</v>
      </c>
    </row>
    <row r="3" customFormat="false" ht="15" hidden="false" customHeight="false" outlineLevel="0" collapsed="false">
      <c r="A3" s="16" t="n">
        <v>2024</v>
      </c>
      <c r="B3" s="16" t="n">
        <v>2</v>
      </c>
      <c r="C3" s="16" t="s">
        <v>450</v>
      </c>
      <c r="D3" s="16" t="n">
        <v>7</v>
      </c>
      <c r="E3" s="17" t="n">
        <v>41.1</v>
      </c>
      <c r="F3" s="17" t="n">
        <v>25.4</v>
      </c>
      <c r="G3" s="17" t="n">
        <v>1.46</v>
      </c>
      <c r="H3" s="17" t="n">
        <v>1.3</v>
      </c>
      <c r="I3" s="17" t="n">
        <v>48.7</v>
      </c>
      <c r="J3" s="17" t="n">
        <v>8.2</v>
      </c>
      <c r="K3" s="16" t="n">
        <v>2</v>
      </c>
    </row>
    <row r="4" customFormat="false" ht="15" hidden="false" customHeight="false" outlineLevel="0" collapsed="false">
      <c r="A4" s="16" t="n">
        <v>2024</v>
      </c>
      <c r="B4" s="16" t="n">
        <v>3</v>
      </c>
      <c r="C4" s="16" t="s">
        <v>451</v>
      </c>
      <c r="D4" s="16" t="n">
        <v>7</v>
      </c>
      <c r="E4" s="17" t="n">
        <v>23.5</v>
      </c>
      <c r="F4" s="17" t="n">
        <v>12.4</v>
      </c>
      <c r="G4" s="17" t="n">
        <v>0.26</v>
      </c>
      <c r="H4" s="17" t="n">
        <v>1.8</v>
      </c>
      <c r="I4" s="17" t="n">
        <v>28.9</v>
      </c>
      <c r="J4" s="17" t="n">
        <v>7</v>
      </c>
      <c r="K4" s="16" t="n">
        <v>3</v>
      </c>
    </row>
    <row r="5" customFormat="false" ht="15" hidden="false" customHeight="false" outlineLevel="0" collapsed="false">
      <c r="A5" s="16" t="n">
        <v>2024</v>
      </c>
      <c r="B5" s="16" t="n">
        <v>4</v>
      </c>
      <c r="C5" s="16" t="s">
        <v>452</v>
      </c>
      <c r="D5" s="16" t="n">
        <v>7</v>
      </c>
      <c r="E5" s="17" t="n">
        <v>46.3</v>
      </c>
      <c r="F5" s="17" t="n">
        <v>34.6</v>
      </c>
      <c r="G5" s="17" t="n">
        <v>2.89</v>
      </c>
      <c r="H5" s="17" t="n">
        <v>0</v>
      </c>
      <c r="I5" s="17" t="n">
        <v>56.6</v>
      </c>
      <c r="J5" s="17" t="n">
        <v>18.8</v>
      </c>
      <c r="K5" s="16" t="n">
        <v>1</v>
      </c>
    </row>
    <row r="6" customFormat="false" ht="15" hidden="false" customHeight="false" outlineLevel="0" collapsed="false">
      <c r="A6" s="3" t="n">
        <v>2024</v>
      </c>
      <c r="B6" s="3" t="n">
        <v>5</v>
      </c>
      <c r="C6" s="3" t="s">
        <v>453</v>
      </c>
      <c r="D6" s="3" t="n">
        <v>7</v>
      </c>
      <c r="E6" s="15" t="n">
        <v>44.8</v>
      </c>
      <c r="F6" s="15" t="n">
        <v>29.1</v>
      </c>
      <c r="G6" s="15" t="n">
        <v>0.07</v>
      </c>
      <c r="H6" s="15" t="n">
        <v>0.1</v>
      </c>
      <c r="I6" s="15" t="n">
        <v>52.2</v>
      </c>
      <c r="J6" s="15" t="n">
        <v>25.6</v>
      </c>
      <c r="K6" s="3" t="n">
        <v>0</v>
      </c>
    </row>
    <row r="7" customFormat="false" ht="15" hidden="false" customHeight="false" outlineLevel="0" collapsed="false">
      <c r="A7" s="3" t="n">
        <v>2024</v>
      </c>
      <c r="B7" s="3" t="n">
        <v>6</v>
      </c>
      <c r="C7" s="3" t="s">
        <v>454</v>
      </c>
      <c r="D7" s="3" t="n">
        <v>7</v>
      </c>
      <c r="E7" s="15" t="n">
        <v>53.4</v>
      </c>
      <c r="F7" s="15" t="n">
        <v>33.8</v>
      </c>
      <c r="G7" s="15" t="n">
        <v>0.13</v>
      </c>
      <c r="H7" s="15" t="n">
        <v>0</v>
      </c>
      <c r="I7" s="15" t="n">
        <v>62.2</v>
      </c>
      <c r="J7" s="15" t="n">
        <v>25.9</v>
      </c>
      <c r="K7" s="3" t="n">
        <v>0</v>
      </c>
    </row>
    <row r="8" customFormat="false" ht="15" hidden="false" customHeight="false" outlineLevel="0" collapsed="false">
      <c r="A8" s="3" t="n">
        <v>2024</v>
      </c>
      <c r="B8" s="3" t="n">
        <v>7</v>
      </c>
      <c r="C8" s="3" t="s">
        <v>455</v>
      </c>
      <c r="D8" s="3" t="n">
        <v>7</v>
      </c>
      <c r="E8" s="15" t="n">
        <v>41.4</v>
      </c>
      <c r="F8" s="15" t="n">
        <v>23.3</v>
      </c>
      <c r="G8" s="15" t="n">
        <v>0.24</v>
      </c>
      <c r="H8" s="15" t="n">
        <v>1.6</v>
      </c>
      <c r="I8" s="15" t="n">
        <v>55.1</v>
      </c>
      <c r="J8" s="15" t="n">
        <v>12.7</v>
      </c>
      <c r="K8" s="3" t="n">
        <v>0</v>
      </c>
    </row>
    <row r="9" customFormat="false" ht="15" hidden="false" customHeight="false" outlineLevel="0" collapsed="false">
      <c r="A9" s="3" t="n">
        <v>2024</v>
      </c>
      <c r="B9" s="3" t="n">
        <v>8</v>
      </c>
      <c r="C9" s="3" t="s">
        <v>14</v>
      </c>
      <c r="D9" s="3" t="n">
        <v>7</v>
      </c>
      <c r="E9" s="15" t="n">
        <v>50</v>
      </c>
      <c r="F9" s="15" t="n">
        <v>25.8</v>
      </c>
      <c r="G9" s="15" t="n">
        <v>0.72</v>
      </c>
      <c r="H9" s="15" t="n">
        <v>1</v>
      </c>
      <c r="I9" s="15" t="n">
        <v>58.4</v>
      </c>
      <c r="J9" s="15" t="n">
        <v>16.9</v>
      </c>
      <c r="K9" s="3" t="n">
        <v>0</v>
      </c>
    </row>
    <row r="10" customFormat="false" ht="15" hidden="false" customHeight="false" outlineLevel="0" collapsed="false">
      <c r="A10" s="3" t="n">
        <v>2024</v>
      </c>
      <c r="B10" s="3" t="n">
        <v>9</v>
      </c>
      <c r="C10" s="3" t="s">
        <v>23</v>
      </c>
      <c r="D10" s="3" t="n">
        <v>7</v>
      </c>
      <c r="E10" s="15" t="n">
        <v>56.2</v>
      </c>
      <c r="F10" s="15" t="n">
        <v>32.8</v>
      </c>
      <c r="G10" s="15" t="n">
        <v>0.43</v>
      </c>
      <c r="H10" s="15" t="n">
        <v>0</v>
      </c>
      <c r="I10" s="15" t="n">
        <v>68.3</v>
      </c>
      <c r="J10" s="15" t="n">
        <v>22.8</v>
      </c>
      <c r="K10" s="3" t="n">
        <v>0</v>
      </c>
    </row>
    <row r="11" customFormat="false" ht="15" hidden="false" customHeight="false" outlineLevel="0" collapsed="false">
      <c r="A11" s="3" t="n">
        <v>2024</v>
      </c>
      <c r="B11" s="3" t="n">
        <v>10</v>
      </c>
      <c r="C11" s="3" t="s">
        <v>30</v>
      </c>
      <c r="D11" s="3" t="n">
        <v>7</v>
      </c>
      <c r="E11" s="15" t="n">
        <v>57.9</v>
      </c>
      <c r="F11" s="15" t="n">
        <v>41.3</v>
      </c>
      <c r="G11" s="15" t="n">
        <v>1.28</v>
      </c>
      <c r="H11" s="15" t="n">
        <v>0</v>
      </c>
      <c r="I11" s="15" t="n">
        <v>71.1</v>
      </c>
      <c r="J11" s="15" t="n">
        <v>31.4</v>
      </c>
      <c r="K11" s="3" t="n">
        <v>0</v>
      </c>
    </row>
    <row r="12" customFormat="false" ht="15" hidden="false" customHeight="false" outlineLevel="0" collapsed="false">
      <c r="A12" s="3" t="n">
        <v>2024</v>
      </c>
      <c r="B12" s="3" t="n">
        <v>11</v>
      </c>
      <c r="C12" s="3" t="s">
        <v>32</v>
      </c>
      <c r="D12" s="3" t="n">
        <v>7</v>
      </c>
      <c r="E12" s="15" t="n">
        <v>61.3</v>
      </c>
      <c r="F12" s="15" t="n">
        <v>36.1</v>
      </c>
      <c r="G12" s="15" t="n">
        <v>0.88</v>
      </c>
      <c r="H12" s="15" t="n">
        <v>0</v>
      </c>
      <c r="I12" s="15" t="n">
        <v>69.6</v>
      </c>
      <c r="J12" s="15" t="n">
        <v>26.4</v>
      </c>
      <c r="K12" s="3" t="n">
        <v>0</v>
      </c>
    </row>
    <row r="13" customFormat="false" ht="15" hidden="false" customHeight="false" outlineLevel="0" collapsed="false">
      <c r="A13" s="3" t="n">
        <v>2024</v>
      </c>
      <c r="B13" s="3" t="n">
        <v>12</v>
      </c>
      <c r="C13" s="3" t="s">
        <v>456</v>
      </c>
      <c r="D13" s="3" t="n">
        <v>7</v>
      </c>
      <c r="E13" s="15" t="n">
        <v>44.7</v>
      </c>
      <c r="F13" s="15" t="n">
        <v>26.5</v>
      </c>
      <c r="G13" s="15" t="n">
        <v>0.25</v>
      </c>
      <c r="H13" s="15" t="n">
        <v>0</v>
      </c>
      <c r="I13" s="15" t="n">
        <v>52.1</v>
      </c>
      <c r="J13" s="15" t="n">
        <v>22.1</v>
      </c>
      <c r="K13" s="3" t="n">
        <v>0</v>
      </c>
    </row>
    <row r="14" customFormat="false" ht="15" hidden="false" customHeight="false" outlineLevel="0" collapsed="false">
      <c r="A14" s="3" t="n">
        <v>2024</v>
      </c>
      <c r="B14" s="3" t="n">
        <v>13</v>
      </c>
      <c r="C14" s="3" t="s">
        <v>457</v>
      </c>
      <c r="D14" s="3" t="n">
        <v>7</v>
      </c>
      <c r="E14" s="15" t="n">
        <v>59.2</v>
      </c>
      <c r="F14" s="15" t="n">
        <v>37.4</v>
      </c>
      <c r="G14" s="15" t="n">
        <v>0.75</v>
      </c>
      <c r="H14" s="15" t="n">
        <v>0</v>
      </c>
      <c r="I14" s="15" t="n">
        <v>69.4</v>
      </c>
      <c r="J14" s="15" t="n">
        <v>26.4</v>
      </c>
      <c r="K14" s="3" t="n">
        <v>0</v>
      </c>
    </row>
    <row r="15" customFormat="false" ht="15" hidden="false" customHeight="false" outlineLevel="0" collapsed="false">
      <c r="A15" s="16" t="n">
        <v>2024</v>
      </c>
      <c r="B15" s="16" t="n">
        <v>14</v>
      </c>
      <c r="C15" s="16" t="s">
        <v>34</v>
      </c>
      <c r="D15" s="16" t="n">
        <v>7</v>
      </c>
      <c r="E15" s="17" t="n">
        <v>58</v>
      </c>
      <c r="F15" s="17" t="n">
        <v>39.3</v>
      </c>
      <c r="G15" s="17" t="n">
        <v>2.66</v>
      </c>
      <c r="H15" s="17" t="n">
        <v>0.2</v>
      </c>
      <c r="I15" s="17" t="n">
        <v>73.5</v>
      </c>
      <c r="J15" s="17" t="n">
        <v>29.4</v>
      </c>
      <c r="K15" s="16" t="n">
        <v>1</v>
      </c>
    </row>
    <row r="16" customFormat="false" ht="15" hidden="false" customHeight="false" outlineLevel="0" collapsed="false">
      <c r="A16" s="16" t="n">
        <v>2024</v>
      </c>
      <c r="B16" s="16" t="n">
        <v>15</v>
      </c>
      <c r="C16" s="16" t="s">
        <v>458</v>
      </c>
      <c r="D16" s="16" t="n">
        <v>7</v>
      </c>
      <c r="E16" s="17" t="n">
        <v>68</v>
      </c>
      <c r="F16" s="17" t="n">
        <v>48.7</v>
      </c>
      <c r="G16" s="17" t="n">
        <v>1.92</v>
      </c>
      <c r="H16" s="17" t="n">
        <v>0</v>
      </c>
      <c r="I16" s="17" t="n">
        <v>77.8</v>
      </c>
      <c r="J16" s="17" t="n">
        <v>44.2</v>
      </c>
      <c r="K16" s="16" t="n">
        <v>1</v>
      </c>
    </row>
    <row r="17" customFormat="false" ht="15" hidden="false" customHeight="false" outlineLevel="0" collapsed="false">
      <c r="A17" s="3" t="n">
        <v>2024</v>
      </c>
      <c r="B17" s="3" t="n">
        <v>16</v>
      </c>
      <c r="C17" s="3" t="s">
        <v>42</v>
      </c>
      <c r="D17" s="3" t="n">
        <v>7</v>
      </c>
      <c r="E17" s="15" t="n">
        <v>66.7</v>
      </c>
      <c r="F17" s="15" t="n">
        <v>48.5</v>
      </c>
      <c r="G17" s="15" t="n">
        <v>0.97</v>
      </c>
      <c r="H17" s="15" t="n">
        <v>0</v>
      </c>
      <c r="I17" s="15" t="n">
        <v>80.5</v>
      </c>
      <c r="J17" s="15" t="n">
        <v>37.7</v>
      </c>
      <c r="K17" s="3" t="n">
        <v>0</v>
      </c>
    </row>
    <row r="18" customFormat="false" ht="15" hidden="false" customHeight="false" outlineLevel="0" collapsed="false">
      <c r="A18" s="3" t="n">
        <v>2024</v>
      </c>
      <c r="B18" s="3" t="n">
        <v>17</v>
      </c>
      <c r="C18" s="3" t="s">
        <v>45</v>
      </c>
      <c r="D18" s="3" t="n">
        <v>7</v>
      </c>
      <c r="E18" s="15" t="n">
        <v>66.6</v>
      </c>
      <c r="F18" s="15" t="n">
        <v>44.2</v>
      </c>
      <c r="G18" s="15" t="n">
        <v>0.17</v>
      </c>
      <c r="H18" s="15" t="n">
        <v>0</v>
      </c>
      <c r="I18" s="15" t="n">
        <v>79.9</v>
      </c>
      <c r="J18" s="15" t="n">
        <v>30.9</v>
      </c>
      <c r="K18" s="3" t="n">
        <v>0</v>
      </c>
    </row>
    <row r="19" customFormat="false" ht="15" hidden="false" customHeight="false" outlineLevel="0" collapsed="false">
      <c r="A19" s="3" t="n">
        <v>2024</v>
      </c>
      <c r="B19" s="3" t="n">
        <v>18</v>
      </c>
      <c r="C19" s="3" t="s">
        <v>47</v>
      </c>
      <c r="D19" s="3" t="n">
        <v>7</v>
      </c>
      <c r="E19" s="15" t="n">
        <v>77.8</v>
      </c>
      <c r="F19" s="15" t="n">
        <v>57.6</v>
      </c>
      <c r="G19" s="15" t="n">
        <v>1.3</v>
      </c>
      <c r="H19" s="15" t="n">
        <v>0</v>
      </c>
      <c r="I19" s="15" t="n">
        <v>82</v>
      </c>
      <c r="J19" s="15" t="n">
        <v>48</v>
      </c>
      <c r="K19" s="3" t="n">
        <v>0</v>
      </c>
    </row>
    <row r="20" customFormat="false" ht="15" hidden="false" customHeight="false" outlineLevel="0" collapsed="false">
      <c r="A20" s="3" t="n">
        <v>2024</v>
      </c>
      <c r="B20" s="3" t="n">
        <v>19</v>
      </c>
      <c r="C20" s="3" t="s">
        <v>49</v>
      </c>
      <c r="D20" s="3" t="n">
        <v>7</v>
      </c>
      <c r="E20" s="15" t="n">
        <v>71.6</v>
      </c>
      <c r="F20" s="15" t="n">
        <v>54.7</v>
      </c>
      <c r="G20" s="15" t="n">
        <v>0.63</v>
      </c>
      <c r="H20" s="15" t="n">
        <v>0</v>
      </c>
      <c r="I20" s="15" t="n">
        <v>79.5</v>
      </c>
      <c r="J20" s="15" t="n">
        <v>45.2</v>
      </c>
      <c r="K20" s="3" t="n">
        <v>0</v>
      </c>
    </row>
    <row r="21" customFormat="false" ht="15" hidden="false" customHeight="false" outlineLevel="0" collapsed="false">
      <c r="A21" s="3" t="n">
        <v>2024</v>
      </c>
      <c r="B21" s="3" t="n">
        <v>20</v>
      </c>
      <c r="C21" s="3" t="s">
        <v>51</v>
      </c>
      <c r="D21" s="3" t="n">
        <v>7</v>
      </c>
      <c r="E21" s="15" t="n">
        <v>76.4</v>
      </c>
      <c r="F21" s="15" t="n">
        <v>57.1</v>
      </c>
      <c r="G21" s="15" t="n">
        <v>1.85</v>
      </c>
      <c r="H21" s="15" t="n">
        <v>0</v>
      </c>
      <c r="I21" s="15" t="n">
        <v>83.9</v>
      </c>
      <c r="J21" s="15" t="n">
        <v>51.1</v>
      </c>
      <c r="K21" s="3" t="n">
        <v>0</v>
      </c>
    </row>
    <row r="22" customFormat="false" ht="15" hidden="false" customHeight="false" outlineLevel="0" collapsed="false">
      <c r="A22" s="3" t="n">
        <v>2024</v>
      </c>
      <c r="B22" s="3" t="n">
        <v>21</v>
      </c>
      <c r="C22" s="3" t="s">
        <v>459</v>
      </c>
      <c r="D22" s="3" t="n">
        <v>7</v>
      </c>
      <c r="E22" s="15" t="n">
        <v>81.7</v>
      </c>
      <c r="F22" s="15" t="n">
        <v>61</v>
      </c>
      <c r="G22" s="15" t="n">
        <v>1.42</v>
      </c>
      <c r="H22" s="15" t="n">
        <v>0</v>
      </c>
      <c r="I22" s="15" t="n">
        <v>84.7</v>
      </c>
      <c r="J22" s="15" t="n">
        <v>57.7</v>
      </c>
      <c r="K22" s="3" t="n">
        <v>0</v>
      </c>
    </row>
    <row r="23" customFormat="false" ht="15" hidden="false" customHeight="false" outlineLevel="0" collapsed="false">
      <c r="A23" s="3" t="n">
        <v>2024</v>
      </c>
      <c r="B23" s="3" t="n">
        <v>22</v>
      </c>
      <c r="C23" s="3" t="s">
        <v>53</v>
      </c>
      <c r="D23" s="3" t="n">
        <v>7</v>
      </c>
      <c r="E23" s="15" t="n">
        <v>73.7</v>
      </c>
      <c r="F23" s="15" t="n">
        <v>53.8</v>
      </c>
      <c r="G23" s="15" t="n">
        <v>0.53</v>
      </c>
      <c r="H23" s="15" t="n">
        <v>0</v>
      </c>
      <c r="I23" s="15" t="n">
        <v>80.2</v>
      </c>
      <c r="J23" s="15" t="n">
        <v>44</v>
      </c>
      <c r="K23" s="3" t="n">
        <v>0</v>
      </c>
    </row>
    <row r="24" customFormat="false" ht="15" hidden="false" customHeight="false" outlineLevel="0" collapsed="false">
      <c r="A24" s="3" t="n">
        <v>2024</v>
      </c>
      <c r="B24" s="3" t="n">
        <v>23</v>
      </c>
      <c r="C24" s="3" t="s">
        <v>460</v>
      </c>
      <c r="D24" s="3" t="n">
        <v>7</v>
      </c>
      <c r="E24" s="15" t="n">
        <v>78.7</v>
      </c>
      <c r="F24" s="15" t="n">
        <v>60.4</v>
      </c>
      <c r="G24" s="15" t="n">
        <v>1.14</v>
      </c>
      <c r="H24" s="15" t="n">
        <v>0</v>
      </c>
      <c r="I24" s="15" t="n">
        <v>84.1</v>
      </c>
      <c r="J24" s="15" t="n">
        <v>51.3</v>
      </c>
      <c r="K24" s="3" t="n">
        <v>0</v>
      </c>
    </row>
    <row r="25" customFormat="false" ht="15" hidden="false" customHeight="false" outlineLevel="0" collapsed="false">
      <c r="A25" s="3" t="n">
        <v>2024</v>
      </c>
      <c r="B25" s="3" t="n">
        <v>24</v>
      </c>
      <c r="C25" s="3" t="s">
        <v>55</v>
      </c>
      <c r="D25" s="3" t="n">
        <v>7</v>
      </c>
      <c r="E25" s="15" t="n">
        <v>79</v>
      </c>
      <c r="F25" s="15" t="n">
        <v>56.1</v>
      </c>
      <c r="G25" s="15" t="n">
        <v>0.14</v>
      </c>
      <c r="H25" s="15" t="n">
        <v>0</v>
      </c>
      <c r="I25" s="15" t="n">
        <v>85.9</v>
      </c>
      <c r="J25" s="15" t="n">
        <v>51.4</v>
      </c>
      <c r="K25" s="3" t="n">
        <v>0</v>
      </c>
    </row>
    <row r="26" customFormat="false" ht="15" hidden="false" customHeight="false" outlineLevel="0" collapsed="false">
      <c r="A26" s="3" t="n">
        <v>2024</v>
      </c>
      <c r="B26" s="3" t="n">
        <v>25</v>
      </c>
      <c r="C26" s="3" t="s">
        <v>62</v>
      </c>
      <c r="D26" s="3" t="n">
        <v>7</v>
      </c>
      <c r="E26" s="15" t="n">
        <v>89.3</v>
      </c>
      <c r="F26" s="15" t="n">
        <v>70.6</v>
      </c>
      <c r="G26" s="15" t="n">
        <v>0.92</v>
      </c>
      <c r="H26" s="15" t="n">
        <v>0</v>
      </c>
      <c r="I26" s="15" t="n">
        <v>93.1</v>
      </c>
      <c r="J26" s="15" t="n">
        <v>66.3</v>
      </c>
      <c r="K26" s="3" t="n">
        <v>0</v>
      </c>
    </row>
    <row r="27" customFormat="false" ht="15" hidden="false" customHeight="false" outlineLevel="0" collapsed="false">
      <c r="A27" s="3" t="n">
        <v>2024</v>
      </c>
      <c r="B27" s="3" t="n">
        <v>26</v>
      </c>
      <c r="C27" s="3" t="s">
        <v>69</v>
      </c>
      <c r="D27" s="3" t="n">
        <v>7</v>
      </c>
      <c r="E27" s="15" t="n">
        <v>83.6</v>
      </c>
      <c r="F27" s="15" t="n">
        <v>65.3</v>
      </c>
      <c r="G27" s="15" t="n">
        <v>0.77</v>
      </c>
      <c r="H27" s="15" t="n">
        <v>0</v>
      </c>
      <c r="I27" s="15" t="n">
        <v>89.9</v>
      </c>
      <c r="J27" s="15" t="n">
        <v>60.8</v>
      </c>
      <c r="K27" s="3" t="n">
        <v>0</v>
      </c>
    </row>
    <row r="28" customFormat="false" ht="15" hidden="false" customHeight="false" outlineLevel="0" collapsed="false">
      <c r="A28" s="3" t="n">
        <v>2024</v>
      </c>
      <c r="B28" s="3" t="n">
        <v>27</v>
      </c>
      <c r="C28" s="3" t="s">
        <v>72</v>
      </c>
      <c r="D28" s="3" t="n">
        <v>7</v>
      </c>
      <c r="E28" s="15" t="n">
        <v>85.2</v>
      </c>
      <c r="F28" s="15" t="n">
        <v>64.9</v>
      </c>
      <c r="G28" s="15" t="n">
        <v>0.55</v>
      </c>
      <c r="H28" s="15" t="n">
        <v>0</v>
      </c>
      <c r="I28" s="15" t="n">
        <v>93</v>
      </c>
      <c r="J28" s="15" t="n">
        <v>56.4</v>
      </c>
      <c r="K28" s="3" t="n">
        <v>0</v>
      </c>
    </row>
    <row r="29" customFormat="false" ht="15" hidden="false" customHeight="false" outlineLevel="0" collapsed="false">
      <c r="A29" s="3" t="n">
        <v>2024</v>
      </c>
      <c r="B29" s="3" t="n">
        <v>28</v>
      </c>
      <c r="C29" s="3" t="s">
        <v>461</v>
      </c>
      <c r="D29" s="3" t="n">
        <v>7</v>
      </c>
      <c r="E29" s="15" t="n">
        <v>86.4</v>
      </c>
      <c r="F29" s="15" t="n">
        <v>66.5</v>
      </c>
      <c r="G29" s="15" t="n">
        <v>0.2</v>
      </c>
      <c r="H29" s="15" t="n">
        <v>0</v>
      </c>
      <c r="I29" s="15" t="n">
        <v>90</v>
      </c>
      <c r="J29" s="15" t="n">
        <v>60.9</v>
      </c>
      <c r="K29" s="3" t="n">
        <v>0</v>
      </c>
    </row>
    <row r="30" customFormat="false" ht="15" hidden="false" customHeight="false" outlineLevel="0" collapsed="false">
      <c r="A30" s="3" t="n">
        <v>2024</v>
      </c>
      <c r="B30" s="3" t="n">
        <v>29</v>
      </c>
      <c r="C30" s="3" t="s">
        <v>83</v>
      </c>
      <c r="D30" s="3" t="n">
        <v>7</v>
      </c>
      <c r="E30" s="15" t="n">
        <v>83.6</v>
      </c>
      <c r="F30" s="15" t="n">
        <v>65.5</v>
      </c>
      <c r="G30" s="15" t="n">
        <v>0.4</v>
      </c>
      <c r="H30" s="15" t="n">
        <v>0</v>
      </c>
      <c r="I30" s="15" t="n">
        <v>89.4</v>
      </c>
      <c r="J30" s="15" t="n">
        <v>57.8</v>
      </c>
      <c r="K30" s="3" t="n">
        <v>0</v>
      </c>
    </row>
    <row r="31" customFormat="false" ht="15" hidden="false" customHeight="false" outlineLevel="0" collapsed="false">
      <c r="A31" s="3" t="n">
        <v>2024</v>
      </c>
      <c r="B31" s="3" t="n">
        <v>30</v>
      </c>
      <c r="C31" s="3" t="s">
        <v>90</v>
      </c>
      <c r="D31" s="3" t="n">
        <v>7</v>
      </c>
      <c r="E31" s="15" t="n">
        <v>84.3</v>
      </c>
      <c r="F31" s="15" t="n">
        <v>63.4</v>
      </c>
      <c r="G31" s="15" t="n">
        <v>0.76</v>
      </c>
      <c r="H31" s="15" t="n">
        <v>0</v>
      </c>
      <c r="I31" s="15" t="n">
        <v>90.9</v>
      </c>
      <c r="J31" s="15" t="n">
        <v>58</v>
      </c>
      <c r="K31" s="3" t="n">
        <v>0</v>
      </c>
    </row>
    <row r="32" customFormat="false" ht="15" hidden="false" customHeight="false" outlineLevel="0" collapsed="false">
      <c r="A32" s="16" t="n">
        <v>2024</v>
      </c>
      <c r="B32" s="16" t="n">
        <v>31</v>
      </c>
      <c r="C32" s="16" t="s">
        <v>95</v>
      </c>
      <c r="D32" s="16" t="n">
        <v>7</v>
      </c>
      <c r="E32" s="17" t="n">
        <v>86.4</v>
      </c>
      <c r="F32" s="17" t="n">
        <v>69.1</v>
      </c>
      <c r="G32" s="17" t="n">
        <v>2.79</v>
      </c>
      <c r="H32" s="17" t="n">
        <v>0</v>
      </c>
      <c r="I32" s="17" t="n">
        <v>90.8</v>
      </c>
      <c r="J32" s="17" t="n">
        <v>66.2</v>
      </c>
      <c r="K32" s="16" t="n">
        <v>2</v>
      </c>
    </row>
    <row r="33" customFormat="false" ht="15" hidden="false" customHeight="false" outlineLevel="0" collapsed="false">
      <c r="A33" s="3" t="n">
        <v>2024</v>
      </c>
      <c r="B33" s="3" t="n">
        <v>32</v>
      </c>
      <c r="C33" s="3" t="s">
        <v>462</v>
      </c>
      <c r="D33" s="3" t="n">
        <v>7</v>
      </c>
      <c r="E33" s="15" t="n">
        <v>83.7</v>
      </c>
      <c r="F33" s="15" t="n">
        <v>65.7</v>
      </c>
      <c r="G33" s="15" t="n">
        <v>0.25</v>
      </c>
      <c r="H33" s="15" t="n">
        <v>0</v>
      </c>
      <c r="I33" s="15" t="n">
        <v>90.1</v>
      </c>
      <c r="J33" s="15" t="n">
        <v>55.7</v>
      </c>
      <c r="K33" s="3" t="n">
        <v>0</v>
      </c>
    </row>
    <row r="34" customFormat="false" ht="15" hidden="false" customHeight="false" outlineLevel="0" collapsed="false">
      <c r="A34" s="3" t="n">
        <v>2024</v>
      </c>
      <c r="B34" s="3" t="n">
        <v>33</v>
      </c>
      <c r="C34" s="3" t="s">
        <v>463</v>
      </c>
      <c r="D34" s="3" t="n">
        <v>7</v>
      </c>
      <c r="E34" s="15" t="n">
        <v>83.3</v>
      </c>
      <c r="F34" s="15" t="n">
        <v>62.4</v>
      </c>
      <c r="G34" s="15" t="n">
        <v>1.23</v>
      </c>
      <c r="H34" s="15" t="n">
        <v>0</v>
      </c>
      <c r="I34" s="15" t="n">
        <v>86.1</v>
      </c>
      <c r="J34" s="15" t="n">
        <v>54.9</v>
      </c>
      <c r="K34" s="3" t="n">
        <v>0</v>
      </c>
    </row>
    <row r="35" customFormat="false" ht="15" hidden="false" customHeight="false" outlineLevel="0" collapsed="false">
      <c r="A35" s="3" t="n">
        <v>2024</v>
      </c>
      <c r="B35" s="3" t="n">
        <v>34</v>
      </c>
      <c r="C35" s="3" t="s">
        <v>97</v>
      </c>
      <c r="D35" s="3" t="n">
        <v>7</v>
      </c>
      <c r="E35" s="15" t="n">
        <v>79.3</v>
      </c>
      <c r="F35" s="15" t="n">
        <v>57</v>
      </c>
      <c r="G35" s="15" t="n">
        <v>0</v>
      </c>
      <c r="H35" s="15" t="n">
        <v>0</v>
      </c>
      <c r="I35" s="15" t="n">
        <v>91.1</v>
      </c>
      <c r="J35" s="15" t="n">
        <v>50.9</v>
      </c>
      <c r="K35" s="3" t="n">
        <v>0</v>
      </c>
    </row>
    <row r="36" customFormat="false" ht="15" hidden="false" customHeight="false" outlineLevel="0" collapsed="false">
      <c r="A36" s="3" t="n">
        <v>2024</v>
      </c>
      <c r="B36" s="3" t="n">
        <v>35</v>
      </c>
      <c r="C36" s="3" t="s">
        <v>99</v>
      </c>
      <c r="D36" s="3" t="n">
        <v>7</v>
      </c>
      <c r="E36" s="15" t="n">
        <v>90.8</v>
      </c>
      <c r="F36" s="15" t="n">
        <v>70.2</v>
      </c>
      <c r="G36" s="15" t="n">
        <v>0.17</v>
      </c>
      <c r="H36" s="15" t="n">
        <v>0</v>
      </c>
      <c r="I36" s="15" t="n">
        <v>94.9</v>
      </c>
      <c r="J36" s="15" t="n">
        <v>67</v>
      </c>
      <c r="K36" s="3" t="n">
        <v>0</v>
      </c>
    </row>
    <row r="37" customFormat="false" ht="15" hidden="false" customHeight="false" outlineLevel="0" collapsed="false">
      <c r="A37" s="3" t="n">
        <v>2024</v>
      </c>
      <c r="B37" s="3" t="n">
        <v>36</v>
      </c>
      <c r="C37" s="3" t="s">
        <v>107</v>
      </c>
      <c r="D37" s="3" t="n">
        <v>7</v>
      </c>
      <c r="E37" s="15" t="n">
        <v>77.3</v>
      </c>
      <c r="F37" s="15" t="n">
        <v>55.1</v>
      </c>
      <c r="G37" s="15" t="n">
        <v>0.21</v>
      </c>
      <c r="H37" s="15" t="n">
        <v>0</v>
      </c>
      <c r="I37" s="15" t="n">
        <v>84.4</v>
      </c>
      <c r="J37" s="15" t="n">
        <v>45.4</v>
      </c>
      <c r="K37" s="3" t="n">
        <v>0</v>
      </c>
    </row>
    <row r="38" customFormat="false" ht="15" hidden="false" customHeight="false" outlineLevel="0" collapsed="false">
      <c r="A38" s="3" t="n">
        <v>2024</v>
      </c>
      <c r="B38" s="3" t="n">
        <v>37</v>
      </c>
      <c r="C38" s="3" t="s">
        <v>113</v>
      </c>
      <c r="D38" s="3" t="n">
        <v>7</v>
      </c>
      <c r="E38" s="15" t="n">
        <v>83.9</v>
      </c>
      <c r="F38" s="15" t="n">
        <v>57.3</v>
      </c>
      <c r="G38" s="15" t="n">
        <v>0</v>
      </c>
      <c r="H38" s="15" t="n">
        <v>0</v>
      </c>
      <c r="I38" s="15" t="n">
        <v>86.8</v>
      </c>
      <c r="J38" s="15" t="n">
        <v>48.4</v>
      </c>
      <c r="K38" s="3" t="n">
        <v>0</v>
      </c>
    </row>
    <row r="39" customFormat="false" ht="15" hidden="false" customHeight="false" outlineLevel="0" collapsed="false">
      <c r="A39" s="3" t="n">
        <v>2024</v>
      </c>
      <c r="B39" s="3" t="n">
        <v>38</v>
      </c>
      <c r="C39" s="3" t="s">
        <v>115</v>
      </c>
      <c r="D39" s="3" t="n">
        <v>7</v>
      </c>
      <c r="E39" s="15" t="n">
        <v>86.2</v>
      </c>
      <c r="F39" s="15" t="n">
        <v>62.8</v>
      </c>
      <c r="G39" s="15" t="n">
        <v>0.13</v>
      </c>
      <c r="H39" s="15" t="n">
        <v>0</v>
      </c>
      <c r="I39" s="15" t="n">
        <v>89.9</v>
      </c>
      <c r="J39" s="15" t="n">
        <v>61</v>
      </c>
      <c r="K39" s="3" t="n">
        <v>0</v>
      </c>
    </row>
    <row r="40" customFormat="false" ht="15" hidden="false" customHeight="false" outlineLevel="0" collapsed="false">
      <c r="A40" s="16" t="n">
        <v>2024</v>
      </c>
      <c r="B40" s="16" t="n">
        <v>39</v>
      </c>
      <c r="C40" s="16" t="s">
        <v>464</v>
      </c>
      <c r="D40" s="16" t="n">
        <v>7</v>
      </c>
      <c r="E40" s="17" t="n">
        <v>74.4</v>
      </c>
      <c r="F40" s="17" t="n">
        <v>65.3</v>
      </c>
      <c r="G40" s="17" t="n">
        <v>3.54</v>
      </c>
      <c r="H40" s="17" t="n">
        <v>0</v>
      </c>
      <c r="I40" s="17" t="n">
        <v>79.6</v>
      </c>
      <c r="J40" s="17" t="n">
        <v>63.7</v>
      </c>
      <c r="K40" s="16" t="n">
        <v>1</v>
      </c>
    </row>
    <row r="41" customFormat="false" ht="15" hidden="false" customHeight="false" outlineLevel="0" collapsed="false">
      <c r="A41" s="3" t="n">
        <v>2024</v>
      </c>
      <c r="B41" s="3" t="n">
        <v>40</v>
      </c>
      <c r="C41" s="3" t="s">
        <v>118</v>
      </c>
      <c r="D41" s="3" t="n">
        <v>7</v>
      </c>
      <c r="E41" s="15" t="n">
        <v>74.6</v>
      </c>
      <c r="F41" s="15" t="n">
        <v>56.4</v>
      </c>
      <c r="G41" s="15" t="n">
        <v>0.24</v>
      </c>
      <c r="H41" s="15" t="n">
        <v>0</v>
      </c>
      <c r="I41" s="15" t="n">
        <v>81.6</v>
      </c>
      <c r="J41" s="15" t="n">
        <v>49.6</v>
      </c>
      <c r="K41" s="3" t="n">
        <v>0</v>
      </c>
    </row>
    <row r="42" customFormat="false" ht="15" hidden="false" customHeight="false" outlineLevel="0" collapsed="false">
      <c r="A42" s="3" t="n">
        <v>2024</v>
      </c>
      <c r="B42" s="3" t="n">
        <v>41</v>
      </c>
      <c r="C42" s="3" t="s">
        <v>122</v>
      </c>
      <c r="D42" s="3" t="n">
        <v>7</v>
      </c>
      <c r="E42" s="15" t="n">
        <v>69.2</v>
      </c>
      <c r="F42" s="15" t="n">
        <v>47.7</v>
      </c>
      <c r="G42" s="15" t="n">
        <v>0.47</v>
      </c>
      <c r="H42" s="15" t="n">
        <v>0</v>
      </c>
      <c r="I42" s="15" t="n">
        <v>76.8</v>
      </c>
      <c r="J42" s="15" t="n">
        <v>41.5</v>
      </c>
      <c r="K42" s="3" t="n">
        <v>0</v>
      </c>
    </row>
    <row r="43" customFormat="false" ht="15" hidden="false" customHeight="false" outlineLevel="0" collapsed="false">
      <c r="A43" s="3" t="n">
        <v>2024</v>
      </c>
      <c r="B43" s="3" t="n">
        <v>42</v>
      </c>
      <c r="C43" s="3" t="s">
        <v>124</v>
      </c>
      <c r="D43" s="3" t="n">
        <v>7</v>
      </c>
      <c r="E43" s="15" t="n">
        <v>59.8</v>
      </c>
      <c r="F43" s="15" t="n">
        <v>40.6</v>
      </c>
      <c r="G43" s="15" t="n">
        <v>0.16</v>
      </c>
      <c r="H43" s="15" t="n">
        <v>0</v>
      </c>
      <c r="I43" s="15" t="n">
        <v>69.4</v>
      </c>
      <c r="J43" s="15" t="n">
        <v>34.8</v>
      </c>
      <c r="K43" s="3" t="n">
        <v>0</v>
      </c>
    </row>
    <row r="44" customFormat="false" ht="15" hidden="false" customHeight="false" outlineLevel="0" collapsed="false">
      <c r="A44" s="3" t="n">
        <v>2024</v>
      </c>
      <c r="B44" s="3" t="n">
        <v>43</v>
      </c>
      <c r="C44" s="3" t="s">
        <v>135</v>
      </c>
      <c r="D44" s="3" t="n">
        <v>7</v>
      </c>
      <c r="E44" s="15" t="n">
        <v>67</v>
      </c>
      <c r="F44" s="15" t="n">
        <v>44.6</v>
      </c>
      <c r="G44" s="15" t="n">
        <v>0</v>
      </c>
      <c r="H44" s="15" t="n">
        <v>0</v>
      </c>
      <c r="I44" s="15" t="n">
        <v>75.1</v>
      </c>
      <c r="J44" s="15" t="n">
        <v>38.9</v>
      </c>
      <c r="K44" s="3" t="n">
        <v>0</v>
      </c>
    </row>
    <row r="45" customFormat="false" ht="15" hidden="false" customHeight="false" outlineLevel="0" collapsed="false">
      <c r="A45" s="3" t="n">
        <v>2024</v>
      </c>
      <c r="B45" s="3" t="n">
        <v>44</v>
      </c>
      <c r="C45" s="3" t="s">
        <v>138</v>
      </c>
      <c r="D45" s="3" t="n">
        <v>7</v>
      </c>
      <c r="E45" s="15" t="n">
        <v>68.5</v>
      </c>
      <c r="F45" s="15" t="n">
        <v>46.6</v>
      </c>
      <c r="G45" s="15" t="n">
        <v>0.09</v>
      </c>
      <c r="H45" s="15" t="n">
        <v>0</v>
      </c>
      <c r="I45" s="15" t="n">
        <v>77.2</v>
      </c>
      <c r="J45" s="15" t="n">
        <v>34.3</v>
      </c>
      <c r="K45" s="3" t="n">
        <v>0</v>
      </c>
    </row>
    <row r="46" customFormat="false" ht="15" hidden="false" customHeight="false" outlineLevel="0" collapsed="false">
      <c r="A46" s="3" t="n">
        <v>2024</v>
      </c>
      <c r="B46" s="3" t="n">
        <v>45</v>
      </c>
      <c r="C46" s="3" t="s">
        <v>142</v>
      </c>
      <c r="D46" s="3" t="n">
        <v>7</v>
      </c>
      <c r="E46" s="15" t="n">
        <v>66.2</v>
      </c>
      <c r="F46" s="15" t="n">
        <v>50</v>
      </c>
      <c r="G46" s="15" t="n">
        <v>1.25</v>
      </c>
      <c r="H46" s="15" t="n">
        <v>0</v>
      </c>
      <c r="I46" s="15" t="n">
        <v>77.4</v>
      </c>
      <c r="J46" s="15" t="n">
        <v>37.7</v>
      </c>
      <c r="K46" s="3" t="n">
        <v>0</v>
      </c>
    </row>
    <row r="47" customFormat="false" ht="15" hidden="false" customHeight="false" outlineLevel="0" collapsed="false">
      <c r="A47" s="3" t="n">
        <v>2024</v>
      </c>
      <c r="B47" s="3" t="n">
        <v>46</v>
      </c>
      <c r="C47" s="3" t="s">
        <v>144</v>
      </c>
      <c r="D47" s="3" t="n">
        <v>7</v>
      </c>
      <c r="E47" s="15" t="n">
        <v>55</v>
      </c>
      <c r="F47" s="15" t="n">
        <v>42.2</v>
      </c>
      <c r="G47" s="15" t="n">
        <v>1</v>
      </c>
      <c r="H47" s="15" t="n">
        <v>0</v>
      </c>
      <c r="I47" s="15" t="n">
        <v>61</v>
      </c>
      <c r="J47" s="15" t="n">
        <v>35.5</v>
      </c>
      <c r="K47" s="3" t="n">
        <v>0</v>
      </c>
    </row>
    <row r="48" customFormat="false" ht="15" hidden="false" customHeight="false" outlineLevel="0" collapsed="false">
      <c r="A48" s="3" t="n">
        <v>2024</v>
      </c>
      <c r="B48" s="3" t="n">
        <v>47</v>
      </c>
      <c r="C48" s="3" t="s">
        <v>146</v>
      </c>
      <c r="D48" s="3" t="n">
        <v>7</v>
      </c>
      <c r="E48" s="15" t="n">
        <v>52.1</v>
      </c>
      <c r="F48" s="15" t="n">
        <v>40.8</v>
      </c>
      <c r="G48" s="15" t="n">
        <v>0.37</v>
      </c>
      <c r="H48" s="15" t="n">
        <v>0</v>
      </c>
      <c r="I48" s="15" t="n">
        <v>64</v>
      </c>
      <c r="J48" s="15" t="n">
        <v>31.3</v>
      </c>
      <c r="K48" s="3" t="n">
        <v>0</v>
      </c>
    </row>
    <row r="49" customFormat="false" ht="15" hidden="false" customHeight="false" outlineLevel="0" collapsed="false">
      <c r="A49" s="3" t="n">
        <v>2024</v>
      </c>
      <c r="B49" s="3" t="n">
        <v>48</v>
      </c>
      <c r="C49" s="3" t="s">
        <v>150</v>
      </c>
      <c r="D49" s="3" t="n">
        <v>7</v>
      </c>
      <c r="E49" s="15" t="n">
        <v>42.7</v>
      </c>
      <c r="F49" s="15" t="n">
        <v>30.6</v>
      </c>
      <c r="G49" s="15" t="n">
        <v>0.95</v>
      </c>
      <c r="H49" s="15" t="n">
        <v>0.1</v>
      </c>
      <c r="I49" s="15" t="n">
        <v>61.2</v>
      </c>
      <c r="J49" s="15" t="n">
        <v>21.2</v>
      </c>
      <c r="K49" s="3" t="n">
        <v>0</v>
      </c>
    </row>
    <row r="50" customFormat="false" ht="15" hidden="false" customHeight="false" outlineLevel="0" collapsed="false">
      <c r="A50" s="3" t="n">
        <v>2024</v>
      </c>
      <c r="B50" s="3" t="n">
        <v>49</v>
      </c>
      <c r="C50" s="3" t="s">
        <v>154</v>
      </c>
      <c r="D50" s="3" t="n">
        <v>7</v>
      </c>
      <c r="E50" s="15" t="n">
        <v>38.5</v>
      </c>
      <c r="F50" s="15" t="n">
        <v>23.9</v>
      </c>
      <c r="G50" s="15" t="n">
        <v>0.1</v>
      </c>
      <c r="H50" s="15" t="n">
        <v>0.2</v>
      </c>
      <c r="I50" s="15" t="n">
        <v>52.3</v>
      </c>
      <c r="J50" s="15" t="n">
        <v>18.5</v>
      </c>
      <c r="K50" s="3" t="n">
        <v>0</v>
      </c>
    </row>
    <row r="51" customFormat="false" ht="15" hidden="false" customHeight="false" outlineLevel="0" collapsed="false">
      <c r="A51" s="3" t="n">
        <v>2024</v>
      </c>
      <c r="B51" s="3" t="n">
        <v>50</v>
      </c>
      <c r="C51" s="3" t="s">
        <v>157</v>
      </c>
      <c r="D51" s="3" t="n">
        <v>7</v>
      </c>
      <c r="E51" s="15" t="n">
        <v>41.9</v>
      </c>
      <c r="F51" s="15" t="n">
        <v>30.1</v>
      </c>
      <c r="G51" s="15" t="n">
        <v>1.2</v>
      </c>
      <c r="H51" s="15" t="n">
        <v>0.5</v>
      </c>
      <c r="I51" s="15" t="n">
        <v>55.8</v>
      </c>
      <c r="J51" s="15" t="n">
        <v>16</v>
      </c>
      <c r="K51" s="3" t="n">
        <v>0</v>
      </c>
    </row>
    <row r="52" customFormat="false" ht="15" hidden="false" customHeight="false" outlineLevel="0" collapsed="false">
      <c r="A52" s="3" t="n">
        <v>2024</v>
      </c>
      <c r="B52" s="3" t="n">
        <v>51</v>
      </c>
      <c r="C52" s="3" t="s">
        <v>161</v>
      </c>
      <c r="D52" s="3" t="n">
        <v>7</v>
      </c>
      <c r="E52" s="15" t="n">
        <v>41.3</v>
      </c>
      <c r="F52" s="15" t="n">
        <v>31.3</v>
      </c>
      <c r="G52" s="15" t="n">
        <v>0.96</v>
      </c>
      <c r="H52" s="15" t="n">
        <v>0.2</v>
      </c>
      <c r="I52" s="15" t="n">
        <v>57.1</v>
      </c>
      <c r="J52" s="15" t="n">
        <v>18.1</v>
      </c>
      <c r="K52" s="3" t="n">
        <v>0</v>
      </c>
    </row>
    <row r="53" customFormat="false" ht="15" hidden="false" customHeight="false" outlineLevel="0" collapsed="false">
      <c r="A53" s="3" t="n">
        <v>2024</v>
      </c>
      <c r="B53" s="3" t="n">
        <v>52</v>
      </c>
      <c r="C53" s="3" t="s">
        <v>163</v>
      </c>
      <c r="D53" s="3" t="n">
        <v>7</v>
      </c>
      <c r="E53" s="15" t="n">
        <v>50</v>
      </c>
      <c r="F53" s="15" t="n">
        <v>37.9</v>
      </c>
      <c r="G53" s="15" t="n">
        <v>0.97</v>
      </c>
      <c r="H53" s="15" t="n">
        <v>0</v>
      </c>
      <c r="I53" s="15" t="n">
        <v>60.4</v>
      </c>
      <c r="J53" s="15" t="n">
        <v>23.5</v>
      </c>
      <c r="K53" s="3" t="n">
        <v>0</v>
      </c>
    </row>
    <row r="54" customFormat="false" ht="15" hidden="false" customHeight="false" outlineLevel="0" collapsed="false">
      <c r="A54" s="3" t="n">
        <v>2025</v>
      </c>
      <c r="B54" s="3" t="n">
        <v>1</v>
      </c>
      <c r="C54" s="3" t="s">
        <v>165</v>
      </c>
      <c r="D54" s="3" t="n">
        <v>7</v>
      </c>
      <c r="E54" s="15" t="n">
        <v>36.1</v>
      </c>
      <c r="F54" s="15" t="n">
        <v>25.7</v>
      </c>
      <c r="G54" s="15" t="n">
        <v>0.81</v>
      </c>
      <c r="H54" s="15" t="n">
        <v>1.5</v>
      </c>
      <c r="I54" s="15" t="n">
        <v>52.5</v>
      </c>
      <c r="J54" s="15" t="n">
        <v>10.4</v>
      </c>
      <c r="K54" s="3" t="n">
        <v>0</v>
      </c>
    </row>
    <row r="55" customFormat="false" ht="15" hidden="false" customHeight="false" outlineLevel="0" collapsed="false">
      <c r="A55" s="16" t="n">
        <v>2025</v>
      </c>
      <c r="B55" s="16" t="n">
        <v>2</v>
      </c>
      <c r="C55" s="16" t="s">
        <v>168</v>
      </c>
      <c r="D55" s="16" t="n">
        <v>7</v>
      </c>
      <c r="E55" s="17" t="n">
        <v>25.9</v>
      </c>
      <c r="F55" s="17" t="n">
        <v>14</v>
      </c>
      <c r="G55" s="17" t="n">
        <v>0.54</v>
      </c>
      <c r="H55" s="17" t="n">
        <v>3.7</v>
      </c>
      <c r="I55" s="17" t="n">
        <v>34.5</v>
      </c>
      <c r="J55" s="17" t="n">
        <v>5.4</v>
      </c>
      <c r="K55" s="16" t="n">
        <v>3</v>
      </c>
    </row>
    <row r="56" customFormat="false" ht="15" hidden="false" customHeight="false" outlineLevel="0" collapsed="false">
      <c r="A56" s="16" t="n">
        <v>2025</v>
      </c>
      <c r="B56" s="16" t="n">
        <v>3</v>
      </c>
      <c r="C56" s="16" t="s">
        <v>170</v>
      </c>
      <c r="D56" s="16" t="n">
        <v>7</v>
      </c>
      <c r="E56" s="17" t="n">
        <v>29.2</v>
      </c>
      <c r="F56" s="17" t="n">
        <v>13.3</v>
      </c>
      <c r="G56" s="17" t="n">
        <v>0.29</v>
      </c>
      <c r="H56" s="17" t="n">
        <v>0.9</v>
      </c>
      <c r="I56" s="17" t="n">
        <v>38.7</v>
      </c>
      <c r="J56" s="17" t="n">
        <v>-1.6</v>
      </c>
      <c r="K56" s="16" t="n">
        <v>2</v>
      </c>
    </row>
    <row r="57" customFormat="false" ht="15" hidden="false" customHeight="false" outlineLevel="0" collapsed="false">
      <c r="A57" s="16" t="n">
        <v>2025</v>
      </c>
      <c r="B57" s="16" t="n">
        <v>4</v>
      </c>
      <c r="C57" s="16" t="s">
        <v>172</v>
      </c>
      <c r="D57" s="16" t="n">
        <v>7</v>
      </c>
      <c r="E57" s="17" t="n">
        <v>23.6</v>
      </c>
      <c r="F57" s="17" t="n">
        <v>8.8</v>
      </c>
      <c r="G57" s="17" t="n">
        <v>0.02</v>
      </c>
      <c r="H57" s="17" t="n">
        <v>0.1</v>
      </c>
      <c r="I57" s="17" t="n">
        <v>35.6</v>
      </c>
      <c r="J57" s="17" t="n">
        <v>-4</v>
      </c>
      <c r="K57" s="16" t="n">
        <v>3</v>
      </c>
    </row>
    <row r="58" customFormat="false" ht="15" hidden="false" customHeight="false" outlineLevel="0" collapsed="false">
      <c r="A58" s="3" t="n">
        <v>2025</v>
      </c>
      <c r="B58" s="3" t="n">
        <v>5</v>
      </c>
      <c r="C58" s="3" t="s">
        <v>465</v>
      </c>
      <c r="D58" s="3" t="n">
        <v>7</v>
      </c>
      <c r="E58" s="15" t="n">
        <v>43.4</v>
      </c>
      <c r="F58" s="15" t="n">
        <v>28</v>
      </c>
      <c r="G58" s="15" t="n">
        <v>0.43</v>
      </c>
      <c r="H58" s="15" t="n">
        <v>0</v>
      </c>
      <c r="I58" s="15" t="n">
        <v>54.9</v>
      </c>
      <c r="J58" s="15" t="n">
        <v>17.8</v>
      </c>
      <c r="K58" s="3" t="n">
        <v>0</v>
      </c>
    </row>
    <row r="59" customFormat="false" ht="15" hidden="false" customHeight="false" outlineLevel="0" collapsed="false">
      <c r="A59" s="3" t="n">
        <v>2025</v>
      </c>
      <c r="B59" s="3" t="n">
        <v>6</v>
      </c>
      <c r="C59" s="3" t="s">
        <v>174</v>
      </c>
      <c r="D59" s="3" t="n">
        <v>7</v>
      </c>
      <c r="E59" s="15" t="n">
        <v>43.1</v>
      </c>
      <c r="F59" s="15" t="n">
        <v>28.9</v>
      </c>
      <c r="G59" s="15" t="n">
        <v>0.97</v>
      </c>
      <c r="H59" s="15" t="n">
        <v>0</v>
      </c>
      <c r="I59" s="15" t="n">
        <v>61.6</v>
      </c>
      <c r="J59" s="15" t="n">
        <v>26.7</v>
      </c>
      <c r="K59" s="3" t="n">
        <v>0</v>
      </c>
    </row>
    <row r="60" customFormat="false" ht="15" hidden="false" customHeight="false" outlineLevel="0" collapsed="false">
      <c r="A60" s="16" t="n">
        <v>2025</v>
      </c>
      <c r="B60" s="16" t="n">
        <v>7</v>
      </c>
      <c r="C60" s="16" t="s">
        <v>466</v>
      </c>
      <c r="D60" s="16" t="n">
        <v>7</v>
      </c>
      <c r="E60" s="17" t="n">
        <v>37.5</v>
      </c>
      <c r="F60" s="17" t="n">
        <v>25.1</v>
      </c>
      <c r="G60" s="17" t="n">
        <v>2.59</v>
      </c>
      <c r="H60" s="17" t="n">
        <v>3.6</v>
      </c>
      <c r="I60" s="17" t="n">
        <v>41.9</v>
      </c>
      <c r="J60" s="17" t="n">
        <v>13.9</v>
      </c>
      <c r="K60" s="16" t="n">
        <v>1</v>
      </c>
    </row>
    <row r="61" customFormat="false" ht="15" hidden="false" customHeight="false" outlineLevel="0" collapsed="false">
      <c r="A61" s="16" t="n">
        <v>2025</v>
      </c>
      <c r="B61" s="16" t="n">
        <v>8</v>
      </c>
      <c r="C61" s="16" t="s">
        <v>177</v>
      </c>
      <c r="D61" s="16" t="n">
        <v>7</v>
      </c>
      <c r="E61" s="17" t="n">
        <v>25.2</v>
      </c>
      <c r="F61" s="17" t="n">
        <v>12.7</v>
      </c>
      <c r="G61" s="17" t="n">
        <v>0.08</v>
      </c>
      <c r="H61" s="17" t="n">
        <v>0.6</v>
      </c>
      <c r="I61" s="17" t="n">
        <v>39.7</v>
      </c>
      <c r="J61" s="17" t="n">
        <v>6.4</v>
      </c>
      <c r="K61" s="16" t="n">
        <v>1</v>
      </c>
    </row>
    <row r="62" customFormat="false" ht="15" hidden="false" customHeight="false" outlineLevel="0" collapsed="false">
      <c r="A62" s="3" t="n">
        <v>2025</v>
      </c>
      <c r="B62" s="3" t="n">
        <v>9</v>
      </c>
      <c r="C62" s="3" t="s">
        <v>181</v>
      </c>
      <c r="D62" s="3" t="n">
        <v>7</v>
      </c>
      <c r="E62" s="15" t="n">
        <v>50.2</v>
      </c>
      <c r="F62" s="15" t="n">
        <v>29.3</v>
      </c>
      <c r="G62" s="15" t="n">
        <v>0.65</v>
      </c>
      <c r="H62" s="15" t="n">
        <v>0.1</v>
      </c>
      <c r="I62" s="15" t="n">
        <v>57.9</v>
      </c>
      <c r="J62" s="15" t="n">
        <v>22</v>
      </c>
      <c r="K62" s="3" t="n">
        <v>0</v>
      </c>
    </row>
    <row r="63" customFormat="false" ht="15" hidden="false" customHeight="false" outlineLevel="0" collapsed="false">
      <c r="A63" s="3" t="n">
        <v>2025</v>
      </c>
      <c r="B63" s="3" t="n">
        <v>10</v>
      </c>
      <c r="C63" s="3" t="s">
        <v>189</v>
      </c>
      <c r="D63" s="3" t="n">
        <v>7</v>
      </c>
      <c r="E63" s="15" t="n">
        <v>48.9</v>
      </c>
      <c r="F63" s="15" t="n">
        <v>30.4</v>
      </c>
      <c r="G63" s="15" t="n">
        <v>0.33</v>
      </c>
      <c r="H63" s="15" t="n">
        <v>0.2</v>
      </c>
      <c r="I63" s="15" t="n">
        <v>62.4</v>
      </c>
      <c r="J63" s="15" t="n">
        <v>23.3</v>
      </c>
      <c r="K63" s="3" t="n">
        <v>0</v>
      </c>
    </row>
    <row r="64" customFormat="false" ht="15" hidden="false" customHeight="false" outlineLevel="0" collapsed="false">
      <c r="A64" s="16" t="n">
        <v>2025</v>
      </c>
      <c r="B64" s="16" t="n">
        <v>11</v>
      </c>
      <c r="C64" s="16" t="s">
        <v>191</v>
      </c>
      <c r="D64" s="16" t="n">
        <v>7</v>
      </c>
      <c r="E64" s="17" t="n">
        <v>66.5</v>
      </c>
      <c r="F64" s="17" t="n">
        <v>40.9</v>
      </c>
      <c r="G64" s="17" t="n">
        <v>2.11</v>
      </c>
      <c r="H64" s="17" t="n">
        <v>0</v>
      </c>
      <c r="I64" s="17" t="n">
        <v>73.9</v>
      </c>
      <c r="J64" s="17" t="n">
        <v>32.7</v>
      </c>
      <c r="K64" s="16" t="n">
        <v>1</v>
      </c>
    </row>
    <row r="65" customFormat="false" ht="15" hidden="false" customHeight="false" outlineLevel="0" collapsed="false">
      <c r="A65" s="3" t="n">
        <v>2025</v>
      </c>
      <c r="B65" s="3" t="n">
        <v>12</v>
      </c>
      <c r="C65" s="3" t="s">
        <v>193</v>
      </c>
      <c r="D65" s="3" t="n">
        <v>7</v>
      </c>
      <c r="E65" s="15" t="n">
        <v>56.2</v>
      </c>
      <c r="F65" s="15" t="n">
        <v>35.3</v>
      </c>
      <c r="G65" s="15" t="n">
        <v>0.24</v>
      </c>
      <c r="H65" s="15" t="n">
        <v>0</v>
      </c>
      <c r="I65" s="15" t="n">
        <v>67.3</v>
      </c>
      <c r="J65" s="15" t="n">
        <v>27.2</v>
      </c>
      <c r="K65" s="3" t="n">
        <v>0</v>
      </c>
    </row>
    <row r="66" customFormat="false" ht="15" hidden="false" customHeight="false" outlineLevel="0" collapsed="false">
      <c r="A66" s="3" t="n">
        <v>2025</v>
      </c>
      <c r="B66" s="3" t="n">
        <v>13</v>
      </c>
      <c r="C66" s="3" t="s">
        <v>194</v>
      </c>
      <c r="D66" s="3" t="n">
        <v>7</v>
      </c>
      <c r="E66" s="15" t="n">
        <v>62.2</v>
      </c>
      <c r="F66" s="15" t="n">
        <v>42.2</v>
      </c>
      <c r="G66" s="15" t="n">
        <v>1.37</v>
      </c>
      <c r="H66" s="15" t="n">
        <v>0</v>
      </c>
      <c r="I66" s="15" t="n">
        <v>74.7</v>
      </c>
      <c r="J66" s="15" t="n">
        <v>28.4</v>
      </c>
      <c r="K66" s="3" t="n">
        <v>0</v>
      </c>
    </row>
    <row r="67" customFormat="false" ht="15" hidden="false" customHeight="false" outlineLevel="0" collapsed="false">
      <c r="A67" s="16" t="n">
        <v>2025</v>
      </c>
      <c r="B67" s="16" t="n">
        <v>14</v>
      </c>
      <c r="C67" s="16" t="s">
        <v>196</v>
      </c>
      <c r="D67" s="16" t="n">
        <v>7</v>
      </c>
      <c r="E67" s="17" t="n">
        <v>61.5</v>
      </c>
      <c r="F67" s="17" t="n">
        <v>44.5</v>
      </c>
      <c r="G67" s="17" t="n">
        <v>4.26</v>
      </c>
      <c r="H67" s="17" t="n">
        <v>0</v>
      </c>
      <c r="I67" s="17" t="n">
        <v>77.1</v>
      </c>
      <c r="J67" s="17" t="n">
        <v>38.2</v>
      </c>
      <c r="K67" s="16" t="n">
        <v>2</v>
      </c>
    </row>
    <row r="68" customFormat="false" ht="15" hidden="false" customHeight="false" outlineLevel="0" collapsed="false">
      <c r="A68" s="3" t="n">
        <v>2025</v>
      </c>
      <c r="B68" s="3" t="n">
        <v>15</v>
      </c>
      <c r="C68" s="3" t="s">
        <v>204</v>
      </c>
      <c r="D68" s="3" t="n">
        <v>7</v>
      </c>
      <c r="E68" s="15" t="n">
        <v>51.6</v>
      </c>
      <c r="F68" s="15" t="n">
        <v>32.1</v>
      </c>
      <c r="G68" s="15" t="n">
        <v>0.18</v>
      </c>
      <c r="H68" s="15" t="n">
        <v>0</v>
      </c>
      <c r="I68" s="15" t="n">
        <v>60.3</v>
      </c>
      <c r="J68" s="15" t="n">
        <v>22.6</v>
      </c>
      <c r="K68" s="3" t="n">
        <v>0</v>
      </c>
    </row>
    <row r="69" customFormat="false" ht="15" hidden="false" customHeight="false" outlineLevel="0" collapsed="false">
      <c r="A69" s="3" t="n">
        <v>2025</v>
      </c>
      <c r="B69" s="3" t="n">
        <v>16</v>
      </c>
      <c r="C69" s="3" t="s">
        <v>206</v>
      </c>
      <c r="D69" s="3" t="n">
        <v>7</v>
      </c>
      <c r="E69" s="15" t="n">
        <v>66.2</v>
      </c>
      <c r="F69" s="15" t="n">
        <v>45.5</v>
      </c>
      <c r="G69" s="15" t="n">
        <v>0.12</v>
      </c>
      <c r="H69" s="15" t="n">
        <v>0</v>
      </c>
      <c r="I69" s="15" t="n">
        <v>76.6</v>
      </c>
      <c r="J69" s="15" t="n">
        <v>32.6</v>
      </c>
      <c r="K69" s="3" t="n">
        <v>0</v>
      </c>
    </row>
    <row r="70" customFormat="false" ht="15" hidden="false" customHeight="false" outlineLevel="0" collapsed="false">
      <c r="A70" s="16" t="n">
        <v>2025</v>
      </c>
      <c r="B70" s="16" t="n">
        <v>17</v>
      </c>
      <c r="C70" s="16" t="s">
        <v>211</v>
      </c>
      <c r="D70" s="16" t="n">
        <v>7</v>
      </c>
      <c r="E70" s="17" t="n">
        <v>70.2</v>
      </c>
      <c r="F70" s="17" t="n">
        <v>50.3</v>
      </c>
      <c r="G70" s="17" t="n">
        <v>2.25</v>
      </c>
      <c r="H70" s="17" t="n">
        <v>0</v>
      </c>
      <c r="I70" s="17" t="n">
        <v>78.4</v>
      </c>
      <c r="J70" s="17" t="n">
        <v>41.2</v>
      </c>
      <c r="K70" s="16" t="n">
        <v>1</v>
      </c>
    </row>
    <row r="71" customFormat="false" ht="15" hidden="false" customHeight="false" outlineLevel="0" collapsed="false">
      <c r="A71" s="16" t="n">
        <v>2025</v>
      </c>
      <c r="B71" s="16" t="n">
        <v>18</v>
      </c>
      <c r="C71" s="16" t="s">
        <v>213</v>
      </c>
      <c r="D71" s="16" t="n">
        <v>7</v>
      </c>
      <c r="E71" s="17" t="n">
        <v>71.4</v>
      </c>
      <c r="F71" s="17" t="n">
        <v>53.3</v>
      </c>
      <c r="G71" s="17" t="n">
        <v>1.95</v>
      </c>
      <c r="H71" s="17" t="n">
        <v>0</v>
      </c>
      <c r="I71" s="17" t="n">
        <v>79</v>
      </c>
      <c r="J71" s="17" t="n">
        <v>45</v>
      </c>
      <c r="K71" s="16" t="n">
        <v>1</v>
      </c>
    </row>
    <row r="72" customFormat="false" ht="15" hidden="false" customHeight="false" outlineLevel="0" collapsed="false">
      <c r="A72" s="3" t="n">
        <v>2025</v>
      </c>
      <c r="B72" s="3" t="n">
        <v>19</v>
      </c>
      <c r="C72" s="3" t="s">
        <v>467</v>
      </c>
      <c r="D72" s="3" t="n">
        <v>7</v>
      </c>
      <c r="E72" s="15" t="n">
        <v>67.6</v>
      </c>
      <c r="F72" s="15" t="n">
        <v>47.2</v>
      </c>
      <c r="G72" s="15" t="n">
        <v>0.76</v>
      </c>
      <c r="H72" s="15" t="n">
        <v>0</v>
      </c>
      <c r="I72" s="15" t="n">
        <v>75.7</v>
      </c>
      <c r="J72" s="15" t="n">
        <v>42.6</v>
      </c>
      <c r="K72" s="3" t="n">
        <v>0</v>
      </c>
    </row>
    <row r="73" customFormat="false" ht="15" hidden="false" customHeight="false" outlineLevel="0" collapsed="false">
      <c r="A73" s="16" t="n">
        <v>2025</v>
      </c>
      <c r="B73" s="16" t="n">
        <v>20</v>
      </c>
      <c r="C73" s="16" t="s">
        <v>214</v>
      </c>
      <c r="D73" s="16" t="n">
        <v>7</v>
      </c>
      <c r="E73" s="17" t="n">
        <v>74.2</v>
      </c>
      <c r="F73" s="17" t="n">
        <v>59.5</v>
      </c>
      <c r="G73" s="17" t="n">
        <v>2.18</v>
      </c>
      <c r="H73" s="17" t="n">
        <v>0</v>
      </c>
      <c r="I73" s="17" t="n">
        <v>81.1</v>
      </c>
      <c r="J73" s="17" t="n">
        <v>55.9</v>
      </c>
      <c r="K73" s="16" t="n">
        <v>1</v>
      </c>
    </row>
    <row r="74" customFormat="false" ht="15" hidden="false" customHeight="false" outlineLevel="0" collapsed="false">
      <c r="A74" s="3" t="n">
        <v>2025</v>
      </c>
      <c r="B74" s="3" t="n">
        <v>21</v>
      </c>
      <c r="C74" s="3" t="s">
        <v>468</v>
      </c>
      <c r="D74" s="3" t="n">
        <v>7</v>
      </c>
      <c r="E74" s="15" t="n">
        <v>64.2</v>
      </c>
      <c r="F74" s="15" t="n">
        <v>48.5</v>
      </c>
      <c r="G74" s="15" t="n">
        <v>0.91</v>
      </c>
      <c r="H74" s="15" t="n">
        <v>0</v>
      </c>
      <c r="I74" s="15" t="n">
        <v>70.6</v>
      </c>
      <c r="J74" s="15" t="n">
        <v>43.7</v>
      </c>
      <c r="K74" s="3" t="n">
        <v>0</v>
      </c>
    </row>
    <row r="75" customFormat="false" ht="15" hidden="false" customHeight="false" outlineLevel="0" collapsed="false">
      <c r="A75" s="3" t="n">
        <v>2025</v>
      </c>
      <c r="B75" s="3" t="n">
        <v>22</v>
      </c>
      <c r="C75" s="3" t="s">
        <v>216</v>
      </c>
      <c r="D75" s="3" t="n">
        <v>7</v>
      </c>
      <c r="E75" s="15" t="n">
        <v>66.8</v>
      </c>
      <c r="F75" s="15" t="n">
        <v>52.5</v>
      </c>
      <c r="G75" s="15" t="n">
        <v>1.11</v>
      </c>
      <c r="H75" s="15" t="n">
        <v>0</v>
      </c>
      <c r="I75" s="15" t="n">
        <v>72.4</v>
      </c>
      <c r="J75" s="15" t="n">
        <v>45.1</v>
      </c>
      <c r="K75" s="3" t="n">
        <v>0</v>
      </c>
    </row>
    <row r="76" customFormat="false" ht="15" hidden="false" customHeight="false" outlineLevel="0" collapsed="false">
      <c r="A76" s="3" t="n">
        <v>2025</v>
      </c>
      <c r="B76" s="3" t="n">
        <v>23</v>
      </c>
      <c r="C76" s="3" t="s">
        <v>469</v>
      </c>
      <c r="D76" s="3" t="n">
        <v>7</v>
      </c>
      <c r="E76" s="15" t="n">
        <v>79</v>
      </c>
      <c r="F76" s="15" t="n">
        <v>59.7</v>
      </c>
      <c r="G76" s="15" t="n">
        <v>1.19</v>
      </c>
      <c r="H76" s="15" t="n">
        <v>0</v>
      </c>
      <c r="I76" s="15" t="n">
        <v>84.8</v>
      </c>
      <c r="J76" s="15" t="n">
        <v>46.4</v>
      </c>
      <c r="K76" s="3" t="n">
        <v>0</v>
      </c>
    </row>
    <row r="77" customFormat="false" ht="15" hidden="false" customHeight="false" outlineLevel="0" collapsed="false">
      <c r="A77" s="3" t="n">
        <v>2025</v>
      </c>
      <c r="B77" s="3" t="n">
        <v>24</v>
      </c>
      <c r="C77" s="3" t="s">
        <v>217</v>
      </c>
      <c r="D77" s="3" t="n">
        <v>7</v>
      </c>
      <c r="E77" s="15" t="n">
        <v>78.8</v>
      </c>
      <c r="F77" s="15" t="n">
        <v>62.4</v>
      </c>
      <c r="G77" s="15" t="n">
        <v>1.46</v>
      </c>
      <c r="H77" s="15" t="n">
        <v>0</v>
      </c>
      <c r="I77" s="15" t="n">
        <v>83.7</v>
      </c>
      <c r="J77" s="15" t="n">
        <v>55.9</v>
      </c>
      <c r="K77" s="3" t="n">
        <v>0</v>
      </c>
    </row>
    <row r="78" customFormat="false" ht="15" hidden="false" customHeight="false" outlineLevel="0" collapsed="false">
      <c r="A78" s="3" t="n">
        <v>2025</v>
      </c>
      <c r="B78" s="3" t="n">
        <v>25</v>
      </c>
      <c r="C78" s="3" t="s">
        <v>219</v>
      </c>
      <c r="D78" s="3" t="n">
        <v>7</v>
      </c>
      <c r="E78" s="15" t="n">
        <v>83.4</v>
      </c>
      <c r="F78" s="15" t="n">
        <v>67.4</v>
      </c>
      <c r="G78" s="15" t="n">
        <v>1.37</v>
      </c>
      <c r="H78" s="15" t="n">
        <v>0</v>
      </c>
      <c r="I78" s="15" t="n">
        <v>92.3</v>
      </c>
      <c r="J78" s="15" t="n">
        <v>63.7</v>
      </c>
      <c r="K78" s="3" t="n">
        <v>0</v>
      </c>
    </row>
    <row r="79" customFormat="false" ht="15" hidden="false" customHeight="false" outlineLevel="0" collapsed="false">
      <c r="A79" s="3" t="n">
        <v>2025</v>
      </c>
      <c r="B79" s="3" t="n">
        <v>26</v>
      </c>
      <c r="C79" s="3" t="s">
        <v>224</v>
      </c>
      <c r="D79" s="3" t="n">
        <v>7</v>
      </c>
      <c r="E79" s="15" t="n">
        <v>90.1</v>
      </c>
      <c r="F79" s="15" t="n">
        <v>73</v>
      </c>
      <c r="G79" s="15" t="n">
        <v>0.8</v>
      </c>
      <c r="H79" s="15" t="n">
        <v>0</v>
      </c>
      <c r="I79" s="15" t="n">
        <v>93.5</v>
      </c>
      <c r="J79" s="15" t="n">
        <v>69.8</v>
      </c>
      <c r="K79" s="3" t="n">
        <v>0</v>
      </c>
    </row>
    <row r="80" customFormat="false" ht="15" hidden="false" customHeight="false" outlineLevel="0" collapsed="false">
      <c r="A80" s="3" t="n">
        <v>2025</v>
      </c>
      <c r="B80" s="3" t="n">
        <v>27</v>
      </c>
      <c r="C80" s="3" t="s">
        <v>227</v>
      </c>
      <c r="D80" s="3" t="n">
        <v>7</v>
      </c>
      <c r="E80" s="15" t="n">
        <v>85.8</v>
      </c>
      <c r="F80" s="15" t="n">
        <v>69.1</v>
      </c>
      <c r="G80" s="15" t="n">
        <v>0.48</v>
      </c>
      <c r="H80" s="15" t="n">
        <v>0</v>
      </c>
      <c r="I80" s="15" t="n">
        <v>90.1</v>
      </c>
      <c r="J80" s="15" t="n">
        <v>66</v>
      </c>
      <c r="K80" s="3" t="n">
        <v>0</v>
      </c>
    </row>
    <row r="81" customFormat="false" ht="15" hidden="false" customHeight="false" outlineLevel="0" collapsed="false">
      <c r="A81" s="3" t="n">
        <v>2025</v>
      </c>
      <c r="B81" s="3" t="n">
        <v>28</v>
      </c>
      <c r="C81" s="3" t="s">
        <v>470</v>
      </c>
      <c r="D81" s="3" t="n">
        <v>7</v>
      </c>
      <c r="E81" s="15" t="n">
        <v>86.8</v>
      </c>
      <c r="F81" s="15" t="n">
        <v>71</v>
      </c>
      <c r="G81" s="15" t="n">
        <v>0.55</v>
      </c>
      <c r="H81" s="15" t="n">
        <v>0</v>
      </c>
      <c r="I81" s="15" t="n">
        <v>92.1</v>
      </c>
      <c r="J81" s="15" t="n">
        <v>69.3</v>
      </c>
      <c r="K81" s="3" t="n">
        <v>0</v>
      </c>
    </row>
    <row r="82" customFormat="false" ht="15" hidden="false" customHeight="false" outlineLevel="0" collapsed="false">
      <c r="A82" s="16" t="n">
        <v>2025</v>
      </c>
      <c r="B82" s="16" t="n">
        <v>29</v>
      </c>
      <c r="C82" s="16" t="s">
        <v>228</v>
      </c>
      <c r="D82" s="16" t="n">
        <v>7</v>
      </c>
      <c r="E82" s="17" t="n">
        <v>84</v>
      </c>
      <c r="F82" s="17" t="n">
        <v>70.3</v>
      </c>
      <c r="G82" s="17" t="n">
        <v>4.48</v>
      </c>
      <c r="H82" s="17" t="n">
        <v>0</v>
      </c>
      <c r="I82" s="17" t="n">
        <v>85.8</v>
      </c>
      <c r="J82" s="17" t="n">
        <v>66.9</v>
      </c>
      <c r="K82" s="16" t="n">
        <v>1</v>
      </c>
    </row>
    <row r="83" customFormat="false" ht="15" hidden="false" customHeight="false" outlineLevel="0" collapsed="false">
      <c r="A83" s="3" t="n">
        <v>2025</v>
      </c>
      <c r="B83" s="3" t="n">
        <v>30</v>
      </c>
      <c r="C83" s="3" t="s">
        <v>229</v>
      </c>
      <c r="D83" s="3" t="n">
        <v>7</v>
      </c>
      <c r="E83" s="15" t="n">
        <v>86.3</v>
      </c>
      <c r="F83" s="15" t="n">
        <v>68.1</v>
      </c>
      <c r="G83" s="15" t="n">
        <v>1</v>
      </c>
      <c r="H83" s="15" t="n">
        <v>0</v>
      </c>
      <c r="I83" s="15" t="n">
        <v>91.3</v>
      </c>
      <c r="J83" s="15" t="n">
        <v>61.9</v>
      </c>
      <c r="K83" s="3" t="n">
        <v>0</v>
      </c>
    </row>
    <row r="84" customFormat="false" ht="15" hidden="false" customHeight="false" outlineLevel="0" collapsed="false">
      <c r="A84" s="3" t="n">
        <v>2025</v>
      </c>
      <c r="B84" s="3" t="n">
        <v>31</v>
      </c>
      <c r="C84" s="3" t="s">
        <v>471</v>
      </c>
      <c r="D84" s="3" t="n">
        <v>7</v>
      </c>
      <c r="E84" s="15" t="n">
        <v>83.3</v>
      </c>
      <c r="F84" s="15" t="n">
        <v>66.5</v>
      </c>
      <c r="G84" s="15" t="n">
        <v>0.88</v>
      </c>
      <c r="H84" s="15" t="n">
        <v>0</v>
      </c>
      <c r="I84" s="15" t="n">
        <v>91.7</v>
      </c>
      <c r="J84" s="15" t="n">
        <v>59.1</v>
      </c>
      <c r="K84" s="3" t="n">
        <v>0</v>
      </c>
    </row>
    <row r="85" customFormat="false" ht="15" hidden="false" customHeight="false" outlineLevel="0" collapsed="false">
      <c r="A85" s="3" t="n">
        <v>2025</v>
      </c>
      <c r="B85" s="3" t="n">
        <v>32</v>
      </c>
      <c r="C85" s="3" t="s">
        <v>232</v>
      </c>
      <c r="D85" s="3" t="n">
        <v>7</v>
      </c>
      <c r="E85" s="15" t="n">
        <v>85.9</v>
      </c>
      <c r="F85" s="15" t="n">
        <v>66.4</v>
      </c>
      <c r="G85" s="15" t="n">
        <v>0.28</v>
      </c>
      <c r="H85" s="15" t="n">
        <v>0</v>
      </c>
      <c r="I85" s="15" t="n">
        <v>88.1</v>
      </c>
      <c r="J85" s="15" t="n">
        <v>60.1</v>
      </c>
      <c r="K85" s="3" t="n">
        <v>0</v>
      </c>
    </row>
    <row r="86" customFormat="false" ht="15" hidden="false" customHeight="false" outlineLevel="0" collapsed="false">
      <c r="A86" s="16" t="n">
        <v>2025</v>
      </c>
      <c r="B86" s="16" t="n">
        <v>33</v>
      </c>
      <c r="C86" s="16" t="s">
        <v>472</v>
      </c>
      <c r="D86" s="16" t="n">
        <v>7</v>
      </c>
      <c r="E86" s="17" t="n">
        <v>87.3</v>
      </c>
      <c r="F86" s="17" t="n">
        <v>70.7</v>
      </c>
      <c r="G86" s="17" t="n">
        <v>1.18</v>
      </c>
      <c r="H86" s="17" t="n">
        <v>0</v>
      </c>
      <c r="I86" s="17" t="n">
        <v>90</v>
      </c>
      <c r="J86" s="17" t="n">
        <v>69.3</v>
      </c>
      <c r="K86" s="16" t="n">
        <v>1</v>
      </c>
    </row>
    <row r="87" customFormat="false" ht="15" hidden="false" customHeight="false" outlineLevel="0" collapsed="false">
      <c r="A87" s="3" t="n">
        <v>2025</v>
      </c>
      <c r="B87" s="3" t="n">
        <v>34</v>
      </c>
      <c r="C87" s="3" t="s">
        <v>237</v>
      </c>
      <c r="D87" s="3" t="n">
        <v>7</v>
      </c>
      <c r="E87" s="15" t="n">
        <v>80.6</v>
      </c>
      <c r="F87" s="15" t="n">
        <v>65.6</v>
      </c>
      <c r="G87" s="15" t="n">
        <v>0.77</v>
      </c>
      <c r="H87" s="15" t="n">
        <v>0</v>
      </c>
      <c r="I87" s="15" t="n">
        <v>88.7</v>
      </c>
      <c r="J87" s="15" t="n">
        <v>61.7</v>
      </c>
      <c r="K87" s="3" t="n">
        <v>0</v>
      </c>
    </row>
    <row r="88" customFormat="false" ht="15" hidden="false" customHeight="false" outlineLevel="0" collapsed="false">
      <c r="A88" s="3" t="n">
        <v>2025</v>
      </c>
      <c r="B88" s="3" t="n">
        <v>35</v>
      </c>
      <c r="C88" s="3" t="s">
        <v>238</v>
      </c>
      <c r="D88" s="3" t="n">
        <v>7</v>
      </c>
      <c r="E88" s="15" t="n">
        <v>72.4</v>
      </c>
      <c r="F88" s="15" t="n">
        <v>54.6</v>
      </c>
      <c r="G88" s="15" t="n">
        <v>0.06</v>
      </c>
      <c r="H88" s="15" t="n">
        <v>0</v>
      </c>
      <c r="I88" s="15" t="n">
        <v>75.8</v>
      </c>
      <c r="J88" s="15" t="n">
        <v>52.5</v>
      </c>
      <c r="K88" s="3" t="n">
        <v>0</v>
      </c>
    </row>
    <row r="89" customFormat="false" ht="15" hidden="false" customHeight="false" outlineLevel="0" collapsed="false">
      <c r="A89" s="3" t="n">
        <v>2025</v>
      </c>
      <c r="B89" s="3" t="n">
        <v>36</v>
      </c>
      <c r="C89" s="3" t="s">
        <v>240</v>
      </c>
      <c r="D89" s="3" t="n">
        <v>7</v>
      </c>
      <c r="E89" s="15" t="n">
        <v>75.9</v>
      </c>
      <c r="F89" s="15" t="n">
        <v>56.3</v>
      </c>
      <c r="G89" s="15" t="n">
        <v>0.08</v>
      </c>
      <c r="H89" s="15" t="n">
        <v>0</v>
      </c>
      <c r="I89" s="15" t="n">
        <v>81</v>
      </c>
      <c r="J89" s="15" t="n">
        <v>50.7</v>
      </c>
      <c r="K89" s="3" t="n">
        <v>0</v>
      </c>
    </row>
    <row r="90" customFormat="false" ht="15" hidden="false" customHeight="false" outlineLevel="0" collapsed="false">
      <c r="A90" s="3" t="n">
        <v>2025</v>
      </c>
      <c r="B90" s="3" t="n">
        <v>37</v>
      </c>
      <c r="C90" s="3" t="s">
        <v>242</v>
      </c>
      <c r="D90" s="3" t="n">
        <v>7</v>
      </c>
      <c r="E90" s="15" t="n">
        <v>79.5</v>
      </c>
      <c r="F90" s="15" t="n">
        <v>56.2</v>
      </c>
      <c r="G90" s="15" t="n">
        <v>0</v>
      </c>
      <c r="H90" s="15" t="n">
        <v>0</v>
      </c>
      <c r="I90" s="15" t="n">
        <v>85.7</v>
      </c>
      <c r="J90" s="15" t="n">
        <v>50.2</v>
      </c>
      <c r="K90" s="3" t="n">
        <v>0</v>
      </c>
    </row>
    <row r="91" customFormat="false" ht="15" hidden="false" customHeight="false" outlineLevel="0" collapsed="false">
      <c r="A91" s="3" t="n">
        <v>2025</v>
      </c>
      <c r="B91" s="3" t="n">
        <v>38</v>
      </c>
      <c r="C91" s="3" t="s">
        <v>244</v>
      </c>
      <c r="D91" s="3" t="n">
        <v>7</v>
      </c>
      <c r="E91" s="15" t="n">
        <v>86.9</v>
      </c>
      <c r="F91" s="15" t="n">
        <v>64.4</v>
      </c>
      <c r="G91" s="15" t="n">
        <v>0.09</v>
      </c>
      <c r="H91" s="15" t="n">
        <v>0</v>
      </c>
      <c r="I91" s="15" t="n">
        <v>88.3</v>
      </c>
      <c r="J91" s="15" t="n">
        <v>62.2</v>
      </c>
      <c r="K91" s="3" t="n">
        <v>0</v>
      </c>
    </row>
    <row r="92" customFormat="false" ht="15" hidden="false" customHeight="false" outlineLevel="0" collapsed="false">
      <c r="A92" s="3" t="n">
        <v>2025</v>
      </c>
      <c r="B92" s="3" t="n">
        <v>39</v>
      </c>
      <c r="C92" s="3" t="s">
        <v>245</v>
      </c>
      <c r="D92" s="3" t="n">
        <v>7</v>
      </c>
      <c r="E92" s="15" t="n">
        <v>77.3</v>
      </c>
      <c r="F92" s="15" t="n">
        <v>62.5</v>
      </c>
      <c r="G92" s="15" t="n">
        <v>1.03</v>
      </c>
      <c r="H92" s="15" t="n">
        <v>0</v>
      </c>
      <c r="I92" s="15" t="n">
        <v>83.1</v>
      </c>
      <c r="J92" s="15" t="n">
        <v>57.9</v>
      </c>
      <c r="K92" s="3" t="n">
        <v>0</v>
      </c>
    </row>
    <row r="93" customFormat="false" ht="15" hidden="false" customHeight="false" outlineLevel="0" collapsed="false">
      <c r="A93" s="3" t="n">
        <v>2025</v>
      </c>
      <c r="B93" s="3" t="n">
        <v>40</v>
      </c>
      <c r="C93" s="3" t="s">
        <v>248</v>
      </c>
      <c r="D93" s="3" t="n">
        <v>7</v>
      </c>
      <c r="E93" s="15" t="n">
        <v>79.4</v>
      </c>
      <c r="F93" s="15" t="n">
        <v>56.3</v>
      </c>
      <c r="G93" s="15" t="n">
        <v>0</v>
      </c>
      <c r="H93" s="15" t="n">
        <v>0</v>
      </c>
      <c r="I93" s="15" t="n">
        <v>81.6</v>
      </c>
      <c r="J93" s="15" t="n">
        <v>52.3</v>
      </c>
      <c r="K93" s="3" t="n">
        <v>0</v>
      </c>
    </row>
    <row r="94" customFormat="false" ht="15" hidden="false" customHeight="false" outlineLevel="0" collapsed="false">
      <c r="A94" s="16" t="n">
        <v>2025</v>
      </c>
      <c r="B94" s="16" t="n">
        <v>41</v>
      </c>
      <c r="C94" s="16" t="s">
        <v>473</v>
      </c>
      <c r="D94" s="16" t="n">
        <v>7</v>
      </c>
      <c r="E94" s="17" t="n">
        <v>68.7</v>
      </c>
      <c r="F94" s="17" t="n">
        <v>50</v>
      </c>
      <c r="G94" s="17" t="n">
        <v>2.08</v>
      </c>
      <c r="H94" s="17" t="n">
        <v>0</v>
      </c>
      <c r="I94" s="17" t="n">
        <v>77.5</v>
      </c>
      <c r="J94" s="17" t="n">
        <v>42.2</v>
      </c>
      <c r="K94" s="16" t="n">
        <v>1</v>
      </c>
    </row>
    <row r="95" customFormat="false" ht="15" hidden="false" customHeight="false" outlineLevel="0" collapsed="false">
      <c r="A95" s="16" t="n">
        <v>2025</v>
      </c>
      <c r="B95" s="16" t="n">
        <v>42</v>
      </c>
      <c r="C95" s="16" t="s">
        <v>250</v>
      </c>
      <c r="D95" s="16" t="n">
        <v>7</v>
      </c>
      <c r="E95" s="17" t="n">
        <v>69.5</v>
      </c>
      <c r="F95" s="17" t="n">
        <v>48.9</v>
      </c>
      <c r="G95" s="17" t="n">
        <v>1.3</v>
      </c>
      <c r="H95" s="17" t="n">
        <v>0</v>
      </c>
      <c r="I95" s="17" t="n">
        <v>79.4</v>
      </c>
      <c r="J95" s="17" t="n">
        <v>41.5</v>
      </c>
      <c r="K95" s="16" t="n">
        <v>1</v>
      </c>
    </row>
    <row r="96" customFormat="false" ht="15" hidden="false" customHeight="false" outlineLevel="0" collapsed="false">
      <c r="A96" s="3" t="n">
        <v>2025</v>
      </c>
      <c r="B96" s="3" t="n">
        <v>43</v>
      </c>
      <c r="C96" s="3" t="s">
        <v>253</v>
      </c>
      <c r="D96" s="3" t="n">
        <v>7</v>
      </c>
      <c r="E96" s="15" t="n">
        <v>56</v>
      </c>
      <c r="F96" s="15" t="n">
        <v>41.1</v>
      </c>
      <c r="G96" s="15" t="n">
        <v>0.14</v>
      </c>
      <c r="H96" s="15" t="n">
        <v>0</v>
      </c>
      <c r="I96" s="15" t="n">
        <v>62.2</v>
      </c>
      <c r="J96" s="15" t="n">
        <v>35.2</v>
      </c>
      <c r="K96" s="3" t="n">
        <v>0</v>
      </c>
    </row>
    <row r="97" customFormat="false" ht="15" hidden="false" customHeight="false" outlineLevel="0" collapsed="false">
      <c r="A97" s="3" t="n">
        <v>2025</v>
      </c>
      <c r="B97" s="3" t="n">
        <v>44</v>
      </c>
      <c r="C97" s="3" t="s">
        <v>254</v>
      </c>
      <c r="D97" s="3" t="n">
        <v>7</v>
      </c>
      <c r="E97" s="15" t="n">
        <v>54.2</v>
      </c>
      <c r="F97" s="15" t="n">
        <v>40.6</v>
      </c>
      <c r="G97" s="15" t="n">
        <v>0.91</v>
      </c>
      <c r="H97" s="15" t="n">
        <v>0</v>
      </c>
      <c r="I97" s="15" t="n">
        <v>59.6</v>
      </c>
      <c r="J97" s="15" t="n">
        <v>37.8</v>
      </c>
      <c r="K97" s="3" t="n">
        <v>0</v>
      </c>
    </row>
    <row r="98" customFormat="false" ht="15" hidden="false" customHeight="false" outlineLevel="0" collapsed="false">
      <c r="A98" s="3" t="n">
        <v>2025</v>
      </c>
      <c r="B98" s="3" t="n">
        <v>45</v>
      </c>
      <c r="C98" s="3" t="s">
        <v>256</v>
      </c>
      <c r="D98" s="3" t="n">
        <v>7</v>
      </c>
      <c r="E98" s="15" t="n">
        <v>57.3</v>
      </c>
      <c r="F98" s="15" t="n">
        <v>38.3</v>
      </c>
      <c r="G98" s="15" t="n">
        <v>0.85</v>
      </c>
      <c r="H98" s="15" t="n">
        <v>0.2</v>
      </c>
      <c r="I98" s="15" t="n">
        <v>64.9</v>
      </c>
      <c r="J98" s="15" t="n">
        <v>34.3</v>
      </c>
      <c r="K98" s="3" t="n">
        <v>0</v>
      </c>
    </row>
    <row r="99" customFormat="false" ht="15" hidden="false" customHeight="false" outlineLevel="0" collapsed="false">
      <c r="A99" s="3" t="n">
        <v>2025</v>
      </c>
      <c r="B99" s="3" t="n">
        <v>46</v>
      </c>
      <c r="C99" s="3" t="s">
        <v>259</v>
      </c>
      <c r="D99" s="3" t="n">
        <v>7</v>
      </c>
      <c r="E99" s="15" t="n">
        <v>50.7</v>
      </c>
      <c r="F99" s="15" t="n">
        <v>34.2</v>
      </c>
      <c r="G99" s="15" t="n">
        <v>0.28</v>
      </c>
      <c r="H99" s="15" t="n">
        <v>1</v>
      </c>
      <c r="I99" s="15" t="n">
        <v>65.4</v>
      </c>
      <c r="J99" s="15" t="n">
        <v>23.8</v>
      </c>
      <c r="K99" s="3" t="n">
        <v>0</v>
      </c>
    </row>
    <row r="100" customFormat="false" ht="15" hidden="false" customHeight="false" outlineLevel="0" collapsed="false">
      <c r="A100" s="3" t="n">
        <v>2025</v>
      </c>
      <c r="B100" s="3" t="n">
        <v>47</v>
      </c>
      <c r="C100" s="3" t="s">
        <v>262</v>
      </c>
      <c r="D100" s="3" t="n">
        <v>7</v>
      </c>
      <c r="E100" s="15" t="n">
        <v>47.9</v>
      </c>
      <c r="F100" s="15" t="n">
        <v>36.1</v>
      </c>
      <c r="G100" s="15" t="n">
        <v>0.65</v>
      </c>
      <c r="H100" s="15" t="n">
        <v>0</v>
      </c>
      <c r="I100" s="15" t="n">
        <v>54.2</v>
      </c>
      <c r="J100" s="15" t="n">
        <v>29.1</v>
      </c>
      <c r="K100" s="3" t="n">
        <v>0</v>
      </c>
    </row>
    <row r="101" customFormat="false" ht="15" hidden="false" customHeight="false" outlineLevel="0" collapsed="false">
      <c r="A101" s="3" t="n">
        <v>2025</v>
      </c>
      <c r="B101" s="3" t="n">
        <v>48</v>
      </c>
      <c r="C101" s="3" t="s">
        <v>264</v>
      </c>
      <c r="D101" s="3" t="n">
        <v>7</v>
      </c>
      <c r="E101" s="15" t="n">
        <v>43.7</v>
      </c>
      <c r="F101" s="15" t="n">
        <v>30.9</v>
      </c>
      <c r="G101" s="15" t="n">
        <v>0.81</v>
      </c>
      <c r="H101" s="15" t="n">
        <v>0.4</v>
      </c>
      <c r="I101" s="15" t="n">
        <v>55.7</v>
      </c>
      <c r="J101" s="15" t="n">
        <v>23.2</v>
      </c>
      <c r="K101" s="3" t="n">
        <v>0</v>
      </c>
    </row>
    <row r="102" customFormat="false" ht="15" hidden="false" customHeight="false" outlineLevel="0" collapsed="false">
      <c r="A102" s="16" t="n">
        <v>2025</v>
      </c>
      <c r="B102" s="16" t="n">
        <v>49</v>
      </c>
      <c r="C102" s="16" t="s">
        <v>265</v>
      </c>
      <c r="D102" s="16" t="n">
        <v>7</v>
      </c>
      <c r="E102" s="17" t="n">
        <v>30.9</v>
      </c>
      <c r="F102" s="17" t="n">
        <v>20.8</v>
      </c>
      <c r="G102" s="17" t="n">
        <v>0.34</v>
      </c>
      <c r="H102" s="17" t="n">
        <v>2.4</v>
      </c>
      <c r="I102" s="17" t="n">
        <v>36.1</v>
      </c>
      <c r="J102" s="17" t="n">
        <v>11.2</v>
      </c>
      <c r="K102" s="16" t="n">
        <v>1</v>
      </c>
    </row>
    <row r="103" customFormat="false" ht="15" hidden="false" customHeight="false" outlineLevel="0" collapsed="false">
      <c r="A103" s="16" t="n">
        <v>2025</v>
      </c>
      <c r="B103" s="16" t="n">
        <v>50</v>
      </c>
      <c r="C103" s="16" t="s">
        <v>268</v>
      </c>
      <c r="D103" s="16" t="n">
        <v>7</v>
      </c>
      <c r="E103" s="17" t="n">
        <v>32.8</v>
      </c>
      <c r="F103" s="17" t="n">
        <v>20.7</v>
      </c>
      <c r="G103" s="17" t="n">
        <v>0.61</v>
      </c>
      <c r="H103" s="17" t="n">
        <v>2.7</v>
      </c>
      <c r="I103" s="17" t="n">
        <v>41.6</v>
      </c>
      <c r="J103" s="17" t="n">
        <v>3.6</v>
      </c>
      <c r="K103" s="16" t="n">
        <v>2</v>
      </c>
    </row>
    <row r="104" customFormat="false" ht="15" hidden="false" customHeight="false" outlineLevel="0" collapsed="false">
      <c r="A104" s="16" t="n">
        <v>2025</v>
      </c>
      <c r="B104" s="16" t="n">
        <v>51</v>
      </c>
      <c r="C104" s="16" t="s">
        <v>269</v>
      </c>
      <c r="D104" s="16" t="n">
        <v>7</v>
      </c>
      <c r="E104" s="17" t="n">
        <v>40.7</v>
      </c>
      <c r="F104" s="17" t="n">
        <v>19.5</v>
      </c>
      <c r="G104" s="17" t="n">
        <v>1.07</v>
      </c>
      <c r="H104" s="17" t="n">
        <v>0.1</v>
      </c>
      <c r="I104" s="17" t="n">
        <v>53.3</v>
      </c>
      <c r="J104" s="17" t="n">
        <v>-1.7</v>
      </c>
      <c r="K104" s="16" t="n">
        <v>2</v>
      </c>
    </row>
    <row r="105" customFormat="false" ht="15" hidden="false" customHeight="false" outlineLevel="0" collapsed="false">
      <c r="A105" s="3" t="n">
        <v>2025</v>
      </c>
      <c r="B105" s="3" t="n">
        <v>52</v>
      </c>
      <c r="C105" s="3" t="s">
        <v>270</v>
      </c>
      <c r="D105" s="3" t="n">
        <v>7</v>
      </c>
      <c r="E105" s="15" t="n">
        <v>51.2</v>
      </c>
      <c r="F105" s="15" t="n">
        <v>34</v>
      </c>
      <c r="G105" s="15" t="n">
        <v>0.54</v>
      </c>
      <c r="H105" s="15" t="n">
        <v>0</v>
      </c>
      <c r="I105" s="15" t="n">
        <v>65.5</v>
      </c>
      <c r="J105" s="15" t="n">
        <v>22</v>
      </c>
      <c r="K105" s="3" t="n">
        <v>0</v>
      </c>
    </row>
    <row r="106" customFormat="false" ht="15" hidden="false" customHeight="false" outlineLevel="0" collapsed="false">
      <c r="A106" s="3" t="n">
        <v>2026</v>
      </c>
      <c r="B106" s="3" t="n">
        <v>1</v>
      </c>
      <c r="C106" s="3" t="s">
        <v>271</v>
      </c>
      <c r="D106" s="3" t="n">
        <v>7</v>
      </c>
      <c r="E106" s="15" t="n">
        <v>34.1</v>
      </c>
      <c r="F106" s="15" t="n">
        <v>19.4</v>
      </c>
      <c r="G106" s="15" t="n">
        <v>0.58</v>
      </c>
      <c r="H106" s="15" t="n">
        <v>1</v>
      </c>
      <c r="I106" s="15" t="n">
        <v>61.6</v>
      </c>
      <c r="J106" s="15" t="n">
        <v>10.4</v>
      </c>
      <c r="K106" s="3" t="n">
        <v>0</v>
      </c>
    </row>
    <row r="107" customFormat="false" ht="15" hidden="false" customHeight="false" outlineLevel="0" collapsed="false">
      <c r="A107" s="3" t="n">
        <v>2026</v>
      </c>
      <c r="B107" s="3" t="n">
        <v>2</v>
      </c>
      <c r="C107" s="3" t="s">
        <v>474</v>
      </c>
      <c r="D107" s="3" t="n">
        <v>7</v>
      </c>
      <c r="E107" s="15" t="n">
        <v>49.7</v>
      </c>
      <c r="F107" s="15" t="n">
        <v>32.5</v>
      </c>
      <c r="G107" s="15" t="n">
        <v>0.39</v>
      </c>
      <c r="H107" s="15" t="n">
        <v>0.2</v>
      </c>
      <c r="I107" s="15" t="n">
        <v>63.4</v>
      </c>
      <c r="J107" s="15" t="n">
        <v>25.8</v>
      </c>
      <c r="K107" s="3" t="n">
        <v>0</v>
      </c>
    </row>
    <row r="108" customFormat="false" ht="15" hidden="false" customHeight="false" outlineLevel="0" collapsed="false">
      <c r="A108" s="3" t="n">
        <v>2026</v>
      </c>
      <c r="B108" s="3" t="n">
        <v>3</v>
      </c>
      <c r="C108" s="3" t="s">
        <v>272</v>
      </c>
      <c r="D108" s="3" t="n">
        <v>7</v>
      </c>
      <c r="E108" s="15" t="n">
        <v>35.1</v>
      </c>
      <c r="F108" s="15" t="n">
        <v>21.2</v>
      </c>
      <c r="G108" s="15" t="n">
        <v>0.24</v>
      </c>
      <c r="H108" s="15" t="n">
        <v>0.9</v>
      </c>
      <c r="I108" s="15" t="n">
        <v>47.9</v>
      </c>
      <c r="J108" s="15" t="n">
        <v>15.1</v>
      </c>
      <c r="K108" s="3" t="n">
        <v>0</v>
      </c>
    </row>
    <row r="109" customFormat="false" ht="15" hidden="false" customHeight="false" outlineLevel="0" collapsed="false">
      <c r="A109" s="16" t="n">
        <v>2026</v>
      </c>
      <c r="B109" s="16" t="n">
        <v>4</v>
      </c>
      <c r="C109" s="16" t="s">
        <v>273</v>
      </c>
      <c r="D109" s="16" t="n">
        <v>7</v>
      </c>
      <c r="E109" s="17" t="n">
        <v>25.5</v>
      </c>
      <c r="F109" s="17" t="n">
        <v>11.3</v>
      </c>
      <c r="G109" s="17" t="n">
        <v>1.14</v>
      </c>
      <c r="H109" s="17" t="n">
        <v>7.9</v>
      </c>
      <c r="I109" s="17" t="n">
        <v>38.7</v>
      </c>
      <c r="J109" s="17" t="n">
        <v>3.6</v>
      </c>
      <c r="K109" s="16" t="n">
        <v>5</v>
      </c>
    </row>
    <row r="110" customFormat="false" ht="15" hidden="false" customHeight="false" outlineLevel="0" collapsed="false">
      <c r="A110" s="16" t="n">
        <v>2026</v>
      </c>
      <c r="B110" s="16" t="n">
        <v>5</v>
      </c>
      <c r="C110" s="16" t="s">
        <v>277</v>
      </c>
      <c r="D110" s="16" t="n">
        <v>7</v>
      </c>
      <c r="E110" s="17" t="n">
        <v>13.8</v>
      </c>
      <c r="F110" s="17" t="n">
        <v>-5.1</v>
      </c>
      <c r="G110" s="17" t="n">
        <v>0</v>
      </c>
      <c r="H110" s="17" t="n">
        <v>0.1</v>
      </c>
      <c r="I110" s="17" t="n">
        <v>17.6</v>
      </c>
      <c r="J110" s="17" t="n">
        <v>-16.8</v>
      </c>
      <c r="K110" s="16" t="n">
        <v>7</v>
      </c>
    </row>
    <row r="111" customFormat="false" ht="15" hidden="false" customHeight="false" outlineLevel="0" collapsed="false">
      <c r="A111" s="16" t="n">
        <v>2026</v>
      </c>
      <c r="B111" s="16" t="n">
        <v>6</v>
      </c>
      <c r="C111" s="16" t="s">
        <v>278</v>
      </c>
      <c r="D111" s="16" t="n">
        <v>7</v>
      </c>
      <c r="E111" s="17" t="n">
        <v>24.3</v>
      </c>
      <c r="F111" s="17" t="n">
        <v>6.3</v>
      </c>
      <c r="G111" s="17" t="n">
        <v>0.15</v>
      </c>
      <c r="H111" s="17" t="n">
        <v>1.1</v>
      </c>
      <c r="I111" s="17" t="n">
        <v>31.4</v>
      </c>
      <c r="J111" s="17" t="n">
        <v>-7.2</v>
      </c>
      <c r="K111" s="16" t="n">
        <v>4</v>
      </c>
    </row>
    <row r="112" customFormat="false" ht="15" hidden="false" customHeight="false" outlineLevel="0" collapsed="false">
      <c r="A112" s="16" t="n">
        <v>2026</v>
      </c>
      <c r="B112" s="16" t="n">
        <v>7</v>
      </c>
      <c r="C112" s="16" t="s">
        <v>475</v>
      </c>
      <c r="D112" s="16" t="n">
        <v>7</v>
      </c>
      <c r="E112" s="17" t="n">
        <v>40</v>
      </c>
      <c r="F112" s="17" t="n">
        <v>22.5</v>
      </c>
      <c r="G112" s="17" t="n">
        <v>0.45</v>
      </c>
      <c r="H112" s="17" t="n">
        <v>0</v>
      </c>
      <c r="I112" s="17" t="n">
        <v>49.2</v>
      </c>
      <c r="J112" s="17" t="n">
        <v>7.3</v>
      </c>
      <c r="K112" s="16" t="n">
        <v>1</v>
      </c>
    </row>
    <row r="113" customFormat="false" ht="15" hidden="false" customHeight="false" outlineLevel="0" collapsed="false">
      <c r="A113" s="3" t="n">
        <v>2026</v>
      </c>
      <c r="B113" s="3" t="n">
        <v>8</v>
      </c>
      <c r="C113" s="3" t="s">
        <v>282</v>
      </c>
      <c r="D113" s="3" t="n">
        <v>7</v>
      </c>
      <c r="E113" s="15" t="n">
        <v>50.7</v>
      </c>
      <c r="F113" s="15" t="n">
        <v>34.8</v>
      </c>
      <c r="G113" s="15" t="n">
        <v>0.98</v>
      </c>
      <c r="H113" s="15" t="n">
        <v>0.7</v>
      </c>
      <c r="I113" s="15" t="n">
        <v>65.4</v>
      </c>
      <c r="J113" s="15" t="n">
        <v>27.1</v>
      </c>
      <c r="K113" s="3" t="n">
        <v>0</v>
      </c>
    </row>
    <row r="114" customFormat="false" ht="15" hidden="false" customHeight="false" outlineLevel="0" collapsed="false">
      <c r="A114" s="3" t="n">
        <v>2026</v>
      </c>
      <c r="B114" s="3" t="n">
        <v>9</v>
      </c>
      <c r="C114" s="3" t="s">
        <v>287</v>
      </c>
      <c r="D114" s="3" t="n">
        <v>7</v>
      </c>
      <c r="E114" s="15" t="n">
        <v>44.2</v>
      </c>
      <c r="F114" s="15" t="n">
        <v>29.2</v>
      </c>
      <c r="G114" s="15" t="n">
        <v>0.08</v>
      </c>
      <c r="H114" s="15" t="n">
        <v>0.3</v>
      </c>
      <c r="I114" s="15" t="n">
        <v>57.7</v>
      </c>
      <c r="J114" s="15" t="n">
        <v>19.8</v>
      </c>
      <c r="K114" s="3" t="n">
        <v>0</v>
      </c>
    </row>
    <row r="115" customFormat="false" ht="15" hidden="false" customHeight="false" outlineLevel="0" collapsed="false">
      <c r="A115" s="3" t="n">
        <v>2026</v>
      </c>
      <c r="B115" s="3" t="n">
        <v>10</v>
      </c>
      <c r="C115" s="3" t="s">
        <v>288</v>
      </c>
      <c r="D115" s="3" t="n">
        <v>7</v>
      </c>
      <c r="E115" s="15" t="n">
        <v>58.1</v>
      </c>
      <c r="F115" s="15" t="n">
        <v>44</v>
      </c>
      <c r="G115" s="15" t="n">
        <v>1.98</v>
      </c>
      <c r="H115" s="15" t="n">
        <v>0.7</v>
      </c>
      <c r="I115" s="15" t="n">
        <v>73.9</v>
      </c>
      <c r="J115" s="15" t="n">
        <v>24</v>
      </c>
      <c r="K115" s="3" t="n">
        <v>0</v>
      </c>
    </row>
    <row r="116" customFormat="false" ht="15" hidden="false" customHeight="false" outlineLevel="0" collapsed="false">
      <c r="A116" s="3" t="n">
        <v>2026</v>
      </c>
      <c r="B116" s="3" t="n">
        <v>11</v>
      </c>
      <c r="C116" s="3" t="s">
        <v>297</v>
      </c>
      <c r="D116" s="3" t="n">
        <v>7</v>
      </c>
      <c r="E116" s="15" t="n">
        <v>61.7</v>
      </c>
      <c r="F116" s="15" t="n">
        <v>39.6</v>
      </c>
      <c r="G116" s="15" t="n">
        <v>0.6</v>
      </c>
      <c r="H116" s="15" t="n">
        <v>0.3</v>
      </c>
      <c r="I116" s="15" t="n">
        <v>73</v>
      </c>
      <c r="J116" s="15" t="n">
        <v>31.9</v>
      </c>
      <c r="K116" s="3" t="n">
        <v>0</v>
      </c>
    </row>
    <row r="117" customFormat="false" ht="15" hidden="false" customHeight="false" outlineLevel="0" collapsed="false">
      <c r="A117" s="3" t="n">
        <v>2026</v>
      </c>
      <c r="B117" s="3" t="n">
        <v>12</v>
      </c>
      <c r="C117" s="3" t="s">
        <v>298</v>
      </c>
      <c r="D117" s="3" t="n">
        <v>7</v>
      </c>
      <c r="E117" s="15" t="n">
        <v>57.5</v>
      </c>
      <c r="F117" s="15" t="n">
        <v>32.2</v>
      </c>
      <c r="G117" s="15" t="n">
        <v>0.76</v>
      </c>
      <c r="H117" s="15" t="n">
        <v>0.6</v>
      </c>
      <c r="I117" s="15" t="n">
        <v>84.7</v>
      </c>
      <c r="J117" s="15" t="n">
        <v>17.5</v>
      </c>
      <c r="K117" s="3" t="n">
        <v>0</v>
      </c>
    </row>
    <row r="118" customFormat="false" ht="15" hidden="false" customHeight="false" outlineLevel="0" collapsed="false">
      <c r="A118" s="3" t="n">
        <v>2026</v>
      </c>
      <c r="B118" s="3" t="n">
        <v>13</v>
      </c>
      <c r="C118" s="3" t="s">
        <v>301</v>
      </c>
      <c r="D118" s="3" t="n">
        <v>7</v>
      </c>
      <c r="E118" s="15" t="n">
        <v>56.5</v>
      </c>
      <c r="F118" s="15" t="n">
        <v>35.7</v>
      </c>
      <c r="G118" s="15" t="n">
        <v>1.81</v>
      </c>
      <c r="H118" s="15" t="n">
        <v>0</v>
      </c>
      <c r="I118" s="15" t="n">
        <v>77.8</v>
      </c>
      <c r="J118" s="15" t="n">
        <v>27.1</v>
      </c>
      <c r="K118" s="3" t="n">
        <v>0</v>
      </c>
    </row>
    <row r="119" customFormat="false" ht="15" hidden="false" customHeight="false" outlineLevel="0" collapsed="false">
      <c r="A119" s="3" t="n">
        <v>2026</v>
      </c>
      <c r="B119" s="3" t="n">
        <v>14</v>
      </c>
      <c r="C119" s="3" t="s">
        <v>302</v>
      </c>
      <c r="D119" s="3" t="n">
        <v>7</v>
      </c>
      <c r="E119" s="15" t="n">
        <v>72.1</v>
      </c>
      <c r="F119" s="15" t="n">
        <v>52.3</v>
      </c>
      <c r="G119" s="15" t="n">
        <v>1.57</v>
      </c>
      <c r="H119" s="15" t="n">
        <v>0</v>
      </c>
      <c r="I119" s="15" t="n">
        <v>79.1</v>
      </c>
      <c r="J119" s="15" t="n">
        <v>42</v>
      </c>
      <c r="K119" s="3" t="n">
        <v>0</v>
      </c>
    </row>
    <row r="120" customFormat="false" ht="15" hidden="false" customHeight="false" outlineLevel="0" collapsed="false">
      <c r="A120" s="3" t="n">
        <v>2026</v>
      </c>
      <c r="B120" s="3" t="n">
        <v>15</v>
      </c>
      <c r="C120" s="3" t="s">
        <v>303</v>
      </c>
      <c r="D120" s="3" t="n">
        <v>7</v>
      </c>
      <c r="E120" s="15" t="n">
        <v>65</v>
      </c>
      <c r="F120" s="15" t="n">
        <v>41.2</v>
      </c>
      <c r="G120" s="15" t="n">
        <v>0.06</v>
      </c>
      <c r="H120" s="15" t="n">
        <v>0</v>
      </c>
      <c r="I120" s="15" t="n">
        <v>81.9</v>
      </c>
      <c r="J120" s="15" t="n">
        <v>29</v>
      </c>
      <c r="K120" s="3" t="n">
        <v>0</v>
      </c>
    </row>
    <row r="121" customFormat="false" ht="15" hidden="false" customHeight="false" outlineLevel="0" collapsed="false">
      <c r="A121" s="3" t="n">
        <v>2026</v>
      </c>
      <c r="B121" s="3" t="n">
        <v>16</v>
      </c>
      <c r="C121" s="3" t="s">
        <v>304</v>
      </c>
      <c r="D121" s="3" t="n">
        <v>7</v>
      </c>
      <c r="E121" s="15" t="n">
        <v>77.6</v>
      </c>
      <c r="F121" s="15" t="n">
        <v>58.8</v>
      </c>
      <c r="G121" s="15" t="n">
        <v>0.6</v>
      </c>
      <c r="H121" s="15" t="n">
        <v>0</v>
      </c>
      <c r="I121" s="15" t="n">
        <v>85.1</v>
      </c>
      <c r="J121" s="15" t="n">
        <v>41</v>
      </c>
      <c r="K121" s="3" t="n">
        <v>0</v>
      </c>
    </row>
    <row r="122" customFormat="false" ht="15" hidden="false" customHeight="false" outlineLevel="0" collapsed="false">
      <c r="A122" s="3" t="n">
        <v>2026</v>
      </c>
      <c r="B122" s="3" t="n">
        <v>17</v>
      </c>
      <c r="C122" s="3" t="s">
        <v>306</v>
      </c>
      <c r="D122" s="3" t="n">
        <v>7</v>
      </c>
      <c r="E122" s="15" t="n">
        <v>72</v>
      </c>
      <c r="F122" s="15" t="n">
        <v>48.8</v>
      </c>
      <c r="G122" s="15" t="n">
        <v>1.02</v>
      </c>
      <c r="H122" s="15" t="n">
        <v>0</v>
      </c>
      <c r="I122" s="15" t="n">
        <v>82</v>
      </c>
      <c r="J122" s="15" t="n">
        <v>34.8</v>
      </c>
      <c r="K122" s="3" t="n">
        <v>0</v>
      </c>
    </row>
    <row r="123" customFormat="false" ht="15" hidden="false" customHeight="false" outlineLevel="0" collapsed="false">
      <c r="A123" s="3" t="n">
        <v>2026</v>
      </c>
      <c r="B123" s="3" t="n">
        <v>18</v>
      </c>
      <c r="C123" s="3" t="s">
        <v>308</v>
      </c>
      <c r="D123" s="3" t="n">
        <v>7</v>
      </c>
      <c r="E123" s="15" t="n">
        <v>61.9</v>
      </c>
      <c r="F123" s="15" t="n">
        <v>44.8</v>
      </c>
      <c r="G123" s="15" t="n">
        <v>1.31</v>
      </c>
      <c r="H123" s="15" t="n">
        <v>0</v>
      </c>
      <c r="I123" s="15" t="n">
        <v>79.7</v>
      </c>
      <c r="J123" s="15" t="n">
        <v>33.8</v>
      </c>
      <c r="K123" s="3" t="n">
        <v>0</v>
      </c>
    </row>
    <row r="124" customFormat="false" ht="15" hidden="false" customHeight="false" outlineLevel="0" collapsed="false">
      <c r="A124" s="16" t="n">
        <v>2026</v>
      </c>
      <c r="B124" s="16" t="n">
        <v>19</v>
      </c>
      <c r="C124" s="16" t="s">
        <v>476</v>
      </c>
      <c r="D124" s="16" t="n">
        <v>7</v>
      </c>
      <c r="E124" s="17" t="n">
        <v>66.4</v>
      </c>
      <c r="F124" s="17" t="n">
        <v>49.1</v>
      </c>
      <c r="G124" s="17" t="n">
        <v>1.99</v>
      </c>
      <c r="H124" s="17" t="n">
        <v>0</v>
      </c>
      <c r="I124" s="17" t="n">
        <v>73</v>
      </c>
      <c r="J124" s="17" t="n">
        <v>42.5</v>
      </c>
      <c r="K124" s="16" t="n">
        <v>1</v>
      </c>
    </row>
    <row r="125" customFormat="false" ht="15" hidden="false" customHeight="false" outlineLevel="0" collapsed="false">
      <c r="A125" s="3" t="n">
        <v>2026</v>
      </c>
      <c r="B125" s="3" t="n">
        <v>20</v>
      </c>
      <c r="C125" s="3" t="s">
        <v>477</v>
      </c>
      <c r="D125" s="3" t="n">
        <v>7</v>
      </c>
      <c r="E125" s="15" t="n">
        <v>70.6</v>
      </c>
      <c r="F125" s="15" t="n">
        <v>49.4</v>
      </c>
      <c r="G125" s="15" t="n">
        <v>0.87</v>
      </c>
      <c r="H125" s="15" t="n">
        <v>0</v>
      </c>
      <c r="I125" s="15" t="n">
        <v>83.1</v>
      </c>
      <c r="J125" s="15" t="n">
        <v>43.9</v>
      </c>
      <c r="K125" s="3" t="n">
        <v>0</v>
      </c>
    </row>
    <row r="126" customFormat="false" ht="15" hidden="false" customHeight="false" outlineLevel="0" collapsed="false">
      <c r="A126" s="16" t="n">
        <v>2026</v>
      </c>
      <c r="B126" s="16" t="n">
        <v>21</v>
      </c>
      <c r="C126" s="16" t="s">
        <v>311</v>
      </c>
      <c r="D126" s="16" t="n">
        <v>7</v>
      </c>
      <c r="E126" s="17" t="n">
        <v>74.9</v>
      </c>
      <c r="F126" s="17" t="n">
        <v>59.2</v>
      </c>
      <c r="G126" s="17" t="n">
        <v>3.11</v>
      </c>
      <c r="H126" s="17" t="n">
        <v>0</v>
      </c>
      <c r="I126" s="17" t="n">
        <v>88.2</v>
      </c>
      <c r="J126" s="17" t="n">
        <v>49.6</v>
      </c>
      <c r="K126" s="16" t="n">
        <v>1</v>
      </c>
    </row>
    <row r="127" customFormat="false" ht="15" hidden="false" customHeight="false" outlineLevel="0" collapsed="false">
      <c r="A127" s="3" t="n">
        <v>2026</v>
      </c>
      <c r="B127" s="3" t="n">
        <v>22</v>
      </c>
      <c r="C127" s="3" t="s">
        <v>312</v>
      </c>
      <c r="D127" s="3" t="n">
        <v>7</v>
      </c>
      <c r="E127" s="15" t="n">
        <v>76</v>
      </c>
      <c r="F127" s="15" t="n">
        <v>58</v>
      </c>
      <c r="G127" s="15" t="n">
        <v>0.95</v>
      </c>
      <c r="H127" s="15" t="n">
        <v>0</v>
      </c>
      <c r="I127" s="15" t="n">
        <v>79.1</v>
      </c>
      <c r="J127" s="15" t="n">
        <v>51.5</v>
      </c>
      <c r="K127" s="3" t="n">
        <v>0</v>
      </c>
    </row>
    <row r="128" customFormat="false" ht="15" hidden="false" customHeight="false" outlineLevel="0" collapsed="false">
      <c r="A128" s="3" t="n">
        <v>2026</v>
      </c>
      <c r="B128" s="3" t="n">
        <v>23</v>
      </c>
      <c r="C128" s="3" t="s">
        <v>314</v>
      </c>
      <c r="D128" s="3" t="n">
        <v>7</v>
      </c>
      <c r="E128" s="15" t="n">
        <v>80.7</v>
      </c>
      <c r="F128" s="15" t="n">
        <v>58</v>
      </c>
      <c r="G128" s="15" t="n">
        <v>0.76</v>
      </c>
      <c r="H128" s="15" t="n">
        <v>0</v>
      </c>
      <c r="I128" s="15" t="n">
        <v>86</v>
      </c>
      <c r="J128" s="15" t="n">
        <v>51.5</v>
      </c>
      <c r="K128" s="3" t="n">
        <v>0</v>
      </c>
    </row>
    <row r="129" customFormat="false" ht="15" hidden="false" customHeight="false" outlineLevel="0" collapsed="false">
      <c r="A129" s="3" t="n">
        <v>2026</v>
      </c>
      <c r="B129" s="3" t="n">
        <v>24</v>
      </c>
      <c r="C129" s="3" t="s">
        <v>478</v>
      </c>
      <c r="D129" s="3" t="n">
        <v>7</v>
      </c>
      <c r="E129" s="15" t="n">
        <v>85.3</v>
      </c>
      <c r="F129" s="15" t="n">
        <v>68.1</v>
      </c>
      <c r="G129" s="15" t="n">
        <v>1.67</v>
      </c>
      <c r="H129" s="15" t="n">
        <v>0</v>
      </c>
      <c r="I129" s="15" t="n">
        <v>88.7</v>
      </c>
      <c r="J129" s="15" t="n">
        <v>62</v>
      </c>
      <c r="K129" s="3" t="n">
        <v>0</v>
      </c>
    </row>
    <row r="130" customFormat="false" ht="15" hidden="false" customHeight="false" outlineLevel="0" collapsed="false">
      <c r="A130" s="3" t="n">
        <v>2026</v>
      </c>
      <c r="B130" s="3" t="n">
        <v>25</v>
      </c>
      <c r="C130" s="3" t="s">
        <v>315</v>
      </c>
      <c r="D130" s="3" t="n">
        <v>7</v>
      </c>
      <c r="E130" s="15" t="n">
        <v>76.4</v>
      </c>
      <c r="F130" s="15" t="n">
        <v>58.2</v>
      </c>
      <c r="G130" s="15" t="n">
        <v>0.93</v>
      </c>
      <c r="H130" s="15" t="n">
        <v>0</v>
      </c>
      <c r="I130" s="15" t="n">
        <v>79.1</v>
      </c>
      <c r="J130" s="15" t="n">
        <v>53.5</v>
      </c>
      <c r="K130" s="3" t="n">
        <v>0</v>
      </c>
    </row>
    <row r="131" customFormat="false" ht="15" hidden="false" customHeight="false" outlineLevel="0" collapsed="false">
      <c r="A131" s="3" t="n">
        <v>2026</v>
      </c>
      <c r="B131" s="3" t="n">
        <v>26</v>
      </c>
      <c r="C131" s="3" t="s">
        <v>321</v>
      </c>
      <c r="D131" s="3" t="n">
        <v>7</v>
      </c>
      <c r="E131" s="15" t="n">
        <v>78.4</v>
      </c>
      <c r="F131" s="15" t="n">
        <v>63.1</v>
      </c>
      <c r="G131" s="15" t="n">
        <v>1.42</v>
      </c>
      <c r="H131" s="15" t="n">
        <v>0</v>
      </c>
      <c r="I131" s="15" t="n">
        <v>82.1</v>
      </c>
      <c r="J131" s="15" t="n">
        <v>57</v>
      </c>
      <c r="K131" s="3" t="n">
        <v>0</v>
      </c>
    </row>
    <row r="132" customFormat="false" ht="15" hidden="false" customHeight="false" outlineLevel="0" collapsed="false">
      <c r="A132" s="3" t="n">
        <v>2026</v>
      </c>
      <c r="B132" s="3" t="n">
        <v>27</v>
      </c>
      <c r="C132" s="3" t="s">
        <v>325</v>
      </c>
      <c r="D132" s="3" t="n">
        <v>7</v>
      </c>
      <c r="E132" s="15" t="n">
        <v>90.9</v>
      </c>
      <c r="F132" s="15" t="n">
        <v>73.3</v>
      </c>
      <c r="G132" s="15" t="n">
        <v>0.47</v>
      </c>
      <c r="H132" s="15" t="n">
        <v>0</v>
      </c>
      <c r="I132" s="15" t="n">
        <v>94.6</v>
      </c>
      <c r="J132" s="15" t="n">
        <v>70.8</v>
      </c>
      <c r="K132" s="3" t="n">
        <v>0</v>
      </c>
    </row>
    <row r="133" customFormat="false" ht="15" hidden="false" customHeight="false" outlineLevel="0" collapsed="false">
      <c r="A133" s="3" t="n">
        <v>2026</v>
      </c>
      <c r="B133" s="3" t="n">
        <v>28</v>
      </c>
      <c r="C133" s="3" t="s">
        <v>479</v>
      </c>
      <c r="D133" s="3" t="n">
        <v>7</v>
      </c>
      <c r="E133" s="15" t="n">
        <v>85.3</v>
      </c>
      <c r="F133" s="15" t="n">
        <v>70</v>
      </c>
      <c r="G133" s="15" t="n">
        <v>1.58</v>
      </c>
      <c r="H133" s="15" t="n">
        <v>0</v>
      </c>
      <c r="I133" s="15" t="n">
        <v>89.8</v>
      </c>
      <c r="J133" s="15" t="n">
        <v>68.4</v>
      </c>
      <c r="K133" s="3" t="n">
        <v>0</v>
      </c>
    </row>
    <row r="134" customFormat="false" ht="15" hidden="false" customHeight="false" outlineLevel="0" collapsed="false">
      <c r="A134" s="3" t="n">
        <v>2026</v>
      </c>
      <c r="B134" s="3" t="n">
        <v>29</v>
      </c>
      <c r="C134" s="3" t="s">
        <v>326</v>
      </c>
      <c r="D134" s="3" t="n">
        <v>7</v>
      </c>
      <c r="E134" s="15" t="n">
        <v>88.2</v>
      </c>
      <c r="F134" s="15" t="n">
        <v>71</v>
      </c>
      <c r="G134" s="15" t="n">
        <v>0.99</v>
      </c>
      <c r="H134" s="15" t="n">
        <v>0</v>
      </c>
      <c r="I134" s="15" t="n">
        <v>91.9</v>
      </c>
      <c r="J134" s="15" t="n">
        <v>68</v>
      </c>
      <c r="K134" s="3" t="n">
        <v>0</v>
      </c>
    </row>
    <row r="135" customFormat="false" ht="15" hidden="false" customHeight="false" outlineLevel="0" collapsed="false">
      <c r="A135" s="3" t="n">
        <v>2026</v>
      </c>
      <c r="B135" s="3" t="n">
        <v>30</v>
      </c>
      <c r="C135" s="3" t="s">
        <v>331</v>
      </c>
      <c r="D135" s="3" t="n">
        <v>7</v>
      </c>
      <c r="E135" s="15" t="n">
        <v>79.8</v>
      </c>
      <c r="F135" s="15" t="n">
        <v>62.3</v>
      </c>
      <c r="G135" s="15" t="n">
        <v>0.69</v>
      </c>
      <c r="H135" s="15" t="n">
        <v>0</v>
      </c>
      <c r="I135" s="15" t="n">
        <v>84.2</v>
      </c>
      <c r="J135" s="15" t="n">
        <v>55</v>
      </c>
      <c r="K135" s="3" t="n">
        <v>0</v>
      </c>
    </row>
    <row r="136" customFormat="false" ht="15" hidden="false" customHeight="false" outlineLevel="0" collapsed="false">
      <c r="A136" s="3" t="n">
        <v>2026</v>
      </c>
      <c r="B136" s="3" t="n">
        <v>31</v>
      </c>
      <c r="C136" s="3" t="s">
        <v>334</v>
      </c>
      <c r="D136" s="3" t="n">
        <v>2</v>
      </c>
      <c r="E136" s="15" t="n">
        <v>83.8</v>
      </c>
      <c r="F136" s="15" t="n">
        <v>67.3</v>
      </c>
      <c r="G136" s="15" t="n">
        <v>0.36</v>
      </c>
      <c r="H136" s="15" t="n">
        <v>0</v>
      </c>
      <c r="I136" s="15" t="n">
        <v>85.3</v>
      </c>
      <c r="J136" s="15" t="n">
        <v>66.1</v>
      </c>
      <c r="K136" s="3" t="n">
        <v>0</v>
      </c>
    </row>
    <row r="138" customFormat="false" ht="69.75" hidden="false" customHeight="true" outlineLevel="0" collapsed="false">
      <c r="A138" s="11" t="s">
        <v>480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mergeCells count="1">
    <mergeCell ref="A138:K1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5"/>
    <col collapsed="false" customWidth="true" hidden="false" outlineLevel="0" max="7" min="6" style="0" width="16"/>
    <col collapsed="false" customWidth="true" hidden="false" outlineLevel="0" max="9" min="8" style="0" width="14"/>
    <col collapsed="false" customWidth="true" hidden="false" outlineLevel="0" max="10" min="10" style="0" width="16"/>
    <col collapsed="false" customWidth="true" hidden="false" outlineLevel="0" max="11" min="11" style="0" width="15"/>
    <col collapsed="false" customWidth="true" hidden="false" outlineLevel="0" max="12" min="12" style="0" width="16"/>
    <col collapsed="false" customWidth="true" hidden="false" outlineLevel="0" max="13" min="13" style="0" width="15"/>
  </cols>
  <sheetData>
    <row r="1" customFormat="false" ht="23.85" hidden="false" customHeight="false" outlineLevel="0" collapsed="false">
      <c r="A1" s="1" t="s">
        <v>2</v>
      </c>
      <c r="B1" s="1" t="s">
        <v>481</v>
      </c>
      <c r="C1" s="1" t="s">
        <v>482</v>
      </c>
      <c r="D1" s="1" t="s">
        <v>483</v>
      </c>
      <c r="E1" s="1" t="s">
        <v>484</v>
      </c>
      <c r="F1" s="1" t="s">
        <v>485</v>
      </c>
      <c r="G1" s="1" t="s">
        <v>486</v>
      </c>
      <c r="H1" s="1" t="s">
        <v>487</v>
      </c>
      <c r="I1" s="1" t="s">
        <v>488</v>
      </c>
      <c r="J1" s="1" t="s">
        <v>489</v>
      </c>
      <c r="K1" s="1" t="s">
        <v>490</v>
      </c>
      <c r="L1" s="1" t="s">
        <v>491</v>
      </c>
      <c r="M1" s="1" t="s">
        <v>492</v>
      </c>
    </row>
    <row r="2" customFormat="false" ht="15" hidden="false" customHeight="false" outlineLevel="0" collapsed="false">
      <c r="A2" s="3" t="n">
        <v>32</v>
      </c>
      <c r="B2" s="15" t="n">
        <v>84.3</v>
      </c>
      <c r="C2" s="15" t="n">
        <v>65.1</v>
      </c>
      <c r="D2" s="15" t="n">
        <v>0.78</v>
      </c>
      <c r="E2" s="15" t="n">
        <v>0</v>
      </c>
      <c r="F2" s="15" t="n">
        <f aca="false">IFERROR(INDEX('Weather (Historical)'!$E$2:$E$136,MATCH(1,('Weather (Historical)'!$A$2:$A$136=2024)*('Weather (Historical)'!$B$2:$B$136=32),0)),"")</f>
        <v>83.7</v>
      </c>
      <c r="G2" s="15" t="n">
        <f aca="false">IFERROR(INDEX('Weather (Historical)'!$E$2:$E$136,MATCH(1,('Weather (Historical)'!$A$2:$A$136=2025)*('Weather (Historical)'!$B$2:$B$136=32),0)),"")</f>
        <v>85.9</v>
      </c>
      <c r="H2" s="15" t="n">
        <f aca="false">IFERROR(INDEX('Weather (Historical)'!$G$2:$G$136,MATCH(1,('Weather (Historical)'!$A$2:$A$136=2024)*('Weather (Historical)'!$B$2:$B$136=32),0)),"")</f>
        <v>0.25</v>
      </c>
      <c r="I2" s="15" t="n">
        <f aca="false">IFERROR(INDEX('Weather (Historical)'!$G$2:$G$136,MATCH(1,('Weather (Historical)'!$A$2:$A$136=2025)*('Weather (Historical)'!$B$2:$B$136=32),0)),"")</f>
        <v>0.28</v>
      </c>
      <c r="J2" s="15" t="n">
        <f aca="false">IF(AND(ISNUMBER(F2),ISNUMBER(G2)),ROUND(AVERAGE(B2,F2,G2),1),B2)</f>
        <v>84.6</v>
      </c>
      <c r="K2" s="15" t="n">
        <f aca="false">ROUND(C2,1)</f>
        <v>65.1</v>
      </c>
      <c r="L2" s="15" t="n">
        <f aca="false">IF(AND(ISNUMBER(H2),ISNUMBER(I2)),ROUND(AVERAGE(D2,H2,I2),2),D2)</f>
        <v>0.44</v>
      </c>
      <c r="M2" s="15" t="n">
        <f aca="false">ROUND(E2,1)</f>
        <v>0</v>
      </c>
    </row>
    <row r="3" customFormat="false" ht="15" hidden="false" customHeight="false" outlineLevel="0" collapsed="false">
      <c r="A3" s="3" t="n">
        <v>33</v>
      </c>
      <c r="B3" s="15" t="n">
        <v>84.1</v>
      </c>
      <c r="C3" s="15" t="n">
        <v>64.6</v>
      </c>
      <c r="D3" s="15" t="n">
        <v>0.69</v>
      </c>
      <c r="E3" s="15" t="n">
        <v>0</v>
      </c>
      <c r="F3" s="15" t="n">
        <f aca="false">IFERROR(INDEX('Weather (Historical)'!$E$2:$E$136,MATCH(1,('Weather (Historical)'!$A$2:$A$136=2024)*('Weather (Historical)'!$B$2:$B$136=33),0)),"")</f>
        <v>83.3</v>
      </c>
      <c r="G3" s="15" t="n">
        <f aca="false">IFERROR(INDEX('Weather (Historical)'!$E$2:$E$136,MATCH(1,('Weather (Historical)'!$A$2:$A$136=2025)*('Weather (Historical)'!$B$2:$B$136=33),0)),"")</f>
        <v>87.3</v>
      </c>
      <c r="H3" s="15" t="n">
        <f aca="false">IFERROR(INDEX('Weather (Historical)'!$G$2:$G$136,MATCH(1,('Weather (Historical)'!$A$2:$A$136=2024)*('Weather (Historical)'!$B$2:$B$136=33),0)),"")</f>
        <v>1.23</v>
      </c>
      <c r="I3" s="15" t="n">
        <f aca="false">IFERROR(INDEX('Weather (Historical)'!$G$2:$G$136,MATCH(1,('Weather (Historical)'!$A$2:$A$136=2025)*('Weather (Historical)'!$B$2:$B$136=33),0)),"")</f>
        <v>1.18</v>
      </c>
      <c r="J3" s="15" t="n">
        <f aca="false">IF(AND(ISNUMBER(F3),ISNUMBER(G3)),ROUND(AVERAGE(B3,F3,G3),1),B3)</f>
        <v>84.9</v>
      </c>
      <c r="K3" s="15" t="n">
        <f aca="false">ROUND(C3,1)</f>
        <v>64.6</v>
      </c>
      <c r="L3" s="15" t="n">
        <f aca="false">IF(AND(ISNUMBER(H3),ISNUMBER(I3)),ROUND(AVERAGE(D3,H3,I3),2),D3)</f>
        <v>1.03</v>
      </c>
      <c r="M3" s="15" t="n">
        <f aca="false">ROUND(E3,1)</f>
        <v>0</v>
      </c>
    </row>
    <row r="4" customFormat="false" ht="15" hidden="false" customHeight="false" outlineLevel="0" collapsed="false">
      <c r="A4" s="3" t="n">
        <v>34</v>
      </c>
      <c r="B4" s="15" t="n">
        <v>83.7</v>
      </c>
      <c r="C4" s="15" t="n">
        <v>63.9</v>
      </c>
      <c r="D4" s="15" t="n">
        <v>0.75</v>
      </c>
      <c r="E4" s="15" t="n">
        <v>0</v>
      </c>
      <c r="F4" s="15" t="n">
        <f aca="false">IFERROR(INDEX('Weather (Historical)'!$E$2:$E$136,MATCH(1,('Weather (Historical)'!$A$2:$A$136=2024)*('Weather (Historical)'!$B$2:$B$136=34),0)),"")</f>
        <v>79.3</v>
      </c>
      <c r="G4" s="15" t="n">
        <f aca="false">IFERROR(INDEX('Weather (Historical)'!$E$2:$E$136,MATCH(1,('Weather (Historical)'!$A$2:$A$136=2025)*('Weather (Historical)'!$B$2:$B$136=34),0)),"")</f>
        <v>80.6</v>
      </c>
      <c r="H4" s="15" t="n">
        <f aca="false">IFERROR(INDEX('Weather (Historical)'!$G$2:$G$136,MATCH(1,('Weather (Historical)'!$A$2:$A$136=2024)*('Weather (Historical)'!$B$2:$B$136=34),0)),"")</f>
        <v>0</v>
      </c>
      <c r="I4" s="15" t="n">
        <f aca="false">IFERROR(INDEX('Weather (Historical)'!$G$2:$G$136,MATCH(1,('Weather (Historical)'!$A$2:$A$136=2025)*('Weather (Historical)'!$B$2:$B$136=34),0)),"")</f>
        <v>0.77</v>
      </c>
      <c r="J4" s="15" t="n">
        <f aca="false">IF(AND(ISNUMBER(F4),ISNUMBER(G4)),ROUND(AVERAGE(B4,F4,G4),1),B4)</f>
        <v>81.2</v>
      </c>
      <c r="K4" s="15" t="n">
        <f aca="false">ROUND(C4,1)</f>
        <v>63.9</v>
      </c>
      <c r="L4" s="15" t="n">
        <f aca="false">IF(AND(ISNUMBER(H4),ISNUMBER(I4)),ROUND(AVERAGE(D4,H4,I4),2),D4)</f>
        <v>0.51</v>
      </c>
      <c r="M4" s="15" t="n">
        <f aca="false">ROUND(E4,1)</f>
        <v>0</v>
      </c>
    </row>
    <row r="5" customFormat="false" ht="15" hidden="false" customHeight="false" outlineLevel="0" collapsed="false">
      <c r="A5" s="3" t="n">
        <v>35</v>
      </c>
      <c r="B5" s="15" t="n">
        <v>82.8</v>
      </c>
      <c r="C5" s="15" t="n">
        <v>62.8</v>
      </c>
      <c r="D5" s="15" t="n">
        <v>0.75</v>
      </c>
      <c r="E5" s="15" t="n">
        <v>0</v>
      </c>
      <c r="F5" s="15" t="n">
        <f aca="false">IFERROR(INDEX('Weather (Historical)'!$E$2:$E$136,MATCH(1,('Weather (Historical)'!$A$2:$A$136=2024)*('Weather (Historical)'!$B$2:$B$136=35),0)),"")</f>
        <v>90.8</v>
      </c>
      <c r="G5" s="15" t="n">
        <f aca="false">IFERROR(INDEX('Weather (Historical)'!$E$2:$E$136,MATCH(1,('Weather (Historical)'!$A$2:$A$136=2025)*('Weather (Historical)'!$B$2:$B$136=35),0)),"")</f>
        <v>72.4</v>
      </c>
      <c r="H5" s="15" t="n">
        <f aca="false">IFERROR(INDEX('Weather (Historical)'!$G$2:$G$136,MATCH(1,('Weather (Historical)'!$A$2:$A$136=2024)*('Weather (Historical)'!$B$2:$B$136=35),0)),"")</f>
        <v>0.17</v>
      </c>
      <c r="I5" s="15" t="n">
        <f aca="false">IFERROR(INDEX('Weather (Historical)'!$G$2:$G$136,MATCH(1,('Weather (Historical)'!$A$2:$A$136=2025)*('Weather (Historical)'!$B$2:$B$136=35),0)),"")</f>
        <v>0.06</v>
      </c>
      <c r="J5" s="15" t="n">
        <f aca="false">IF(AND(ISNUMBER(F5),ISNUMBER(G5)),ROUND(AVERAGE(B5,F5,G5),1),B5)</f>
        <v>82</v>
      </c>
      <c r="K5" s="15" t="n">
        <f aca="false">ROUND(C5,1)</f>
        <v>62.8</v>
      </c>
      <c r="L5" s="15" t="n">
        <f aca="false">IF(AND(ISNUMBER(H5),ISNUMBER(I5)),ROUND(AVERAGE(D5,H5,I5),2),D5)</f>
        <v>0.33</v>
      </c>
      <c r="M5" s="15" t="n">
        <f aca="false">ROUND(E5,1)</f>
        <v>0</v>
      </c>
    </row>
    <row r="6" customFormat="false" ht="15" hidden="false" customHeight="false" outlineLevel="0" collapsed="false">
      <c r="A6" s="3" t="n">
        <v>36</v>
      </c>
      <c r="B6" s="15" t="n">
        <v>81.4</v>
      </c>
      <c r="C6" s="15" t="n">
        <v>61.1</v>
      </c>
      <c r="D6" s="15" t="n">
        <v>0.72</v>
      </c>
      <c r="E6" s="15" t="n">
        <v>0</v>
      </c>
      <c r="F6" s="15" t="n">
        <f aca="false">IFERROR(INDEX('Weather (Historical)'!$E$2:$E$136,MATCH(1,('Weather (Historical)'!$A$2:$A$136=2024)*('Weather (Historical)'!$B$2:$B$136=36),0)),"")</f>
        <v>77.3</v>
      </c>
      <c r="G6" s="15" t="n">
        <f aca="false">IFERROR(INDEX('Weather (Historical)'!$E$2:$E$136,MATCH(1,('Weather (Historical)'!$A$2:$A$136=2025)*('Weather (Historical)'!$B$2:$B$136=36),0)),"")</f>
        <v>75.9</v>
      </c>
      <c r="H6" s="15" t="n">
        <f aca="false">IFERROR(INDEX('Weather (Historical)'!$G$2:$G$136,MATCH(1,('Weather (Historical)'!$A$2:$A$136=2024)*('Weather (Historical)'!$B$2:$B$136=36),0)),"")</f>
        <v>0.21</v>
      </c>
      <c r="I6" s="15" t="n">
        <f aca="false">IFERROR(INDEX('Weather (Historical)'!$G$2:$G$136,MATCH(1,('Weather (Historical)'!$A$2:$A$136=2025)*('Weather (Historical)'!$B$2:$B$136=36),0)),"")</f>
        <v>0.08</v>
      </c>
      <c r="J6" s="15" t="n">
        <f aca="false">IF(AND(ISNUMBER(F6),ISNUMBER(G6)),ROUND(AVERAGE(B6,F6,G6),1),B6)</f>
        <v>78.2</v>
      </c>
      <c r="K6" s="15" t="n">
        <f aca="false">ROUND(C6,1)</f>
        <v>61.1</v>
      </c>
      <c r="L6" s="15" t="n">
        <f aca="false">IF(AND(ISNUMBER(H6),ISNUMBER(I6)),ROUND(AVERAGE(D6,H6,I6),2),D6)</f>
        <v>0.34</v>
      </c>
      <c r="M6" s="15" t="n">
        <f aca="false">ROUND(E6,1)</f>
        <v>0</v>
      </c>
    </row>
    <row r="7" customFormat="false" ht="15" hidden="false" customHeight="false" outlineLevel="0" collapsed="false">
      <c r="A7" s="3" t="n">
        <v>37</v>
      </c>
      <c r="B7" s="15" t="n">
        <v>79.3</v>
      </c>
      <c r="C7" s="15" t="n">
        <v>58.8</v>
      </c>
      <c r="D7" s="15" t="n">
        <v>0.69</v>
      </c>
      <c r="E7" s="15" t="n">
        <v>0</v>
      </c>
      <c r="F7" s="15" t="n">
        <f aca="false">IFERROR(INDEX('Weather (Historical)'!$E$2:$E$136,MATCH(1,('Weather (Historical)'!$A$2:$A$136=2024)*('Weather (Historical)'!$B$2:$B$136=37),0)),"")</f>
        <v>83.9</v>
      </c>
      <c r="G7" s="15" t="n">
        <f aca="false">IFERROR(INDEX('Weather (Historical)'!$E$2:$E$136,MATCH(1,('Weather (Historical)'!$A$2:$A$136=2025)*('Weather (Historical)'!$B$2:$B$136=37),0)),"")</f>
        <v>79.5</v>
      </c>
      <c r="H7" s="15" t="n">
        <f aca="false">IFERROR(INDEX('Weather (Historical)'!$G$2:$G$136,MATCH(1,('Weather (Historical)'!$A$2:$A$136=2024)*('Weather (Historical)'!$B$2:$B$136=37),0)),"")</f>
        <v>0</v>
      </c>
      <c r="I7" s="15" t="n">
        <f aca="false">IFERROR(INDEX('Weather (Historical)'!$G$2:$G$136,MATCH(1,('Weather (Historical)'!$A$2:$A$136=2025)*('Weather (Historical)'!$B$2:$B$136=37),0)),"")</f>
        <v>0</v>
      </c>
      <c r="J7" s="15" t="n">
        <f aca="false">IF(AND(ISNUMBER(F7),ISNUMBER(G7)),ROUND(AVERAGE(B7,F7,G7),1),B7)</f>
        <v>80.9</v>
      </c>
      <c r="K7" s="15" t="n">
        <f aca="false">ROUND(C7,1)</f>
        <v>58.8</v>
      </c>
      <c r="L7" s="15" t="n">
        <f aca="false">IF(AND(ISNUMBER(H7),ISNUMBER(I7)),ROUND(AVERAGE(D7,H7,I7),2),D7)</f>
        <v>0.23</v>
      </c>
      <c r="M7" s="15" t="n">
        <f aca="false">ROUND(E7,1)</f>
        <v>0</v>
      </c>
    </row>
    <row r="8" customFormat="false" ht="15" hidden="false" customHeight="false" outlineLevel="0" collapsed="false">
      <c r="A8" s="3" t="n">
        <v>38</v>
      </c>
      <c r="B8" s="15" t="n">
        <v>76.7</v>
      </c>
      <c r="C8" s="15" t="n">
        <v>56.1</v>
      </c>
      <c r="D8" s="15" t="n">
        <v>0.63</v>
      </c>
      <c r="E8" s="15" t="n">
        <v>0</v>
      </c>
      <c r="F8" s="15" t="n">
        <f aca="false">IFERROR(INDEX('Weather (Historical)'!$E$2:$E$136,MATCH(1,('Weather (Historical)'!$A$2:$A$136=2024)*('Weather (Historical)'!$B$2:$B$136=38),0)),"")</f>
        <v>86.2</v>
      </c>
      <c r="G8" s="15" t="n">
        <f aca="false">IFERROR(INDEX('Weather (Historical)'!$E$2:$E$136,MATCH(1,('Weather (Historical)'!$A$2:$A$136=2025)*('Weather (Historical)'!$B$2:$B$136=38),0)),"")</f>
        <v>86.9</v>
      </c>
      <c r="H8" s="15" t="n">
        <f aca="false">IFERROR(INDEX('Weather (Historical)'!$G$2:$G$136,MATCH(1,('Weather (Historical)'!$A$2:$A$136=2024)*('Weather (Historical)'!$B$2:$B$136=38),0)),"")</f>
        <v>0.13</v>
      </c>
      <c r="I8" s="15" t="n">
        <f aca="false">IFERROR(INDEX('Weather (Historical)'!$G$2:$G$136,MATCH(1,('Weather (Historical)'!$A$2:$A$136=2025)*('Weather (Historical)'!$B$2:$B$136=38),0)),"")</f>
        <v>0.09</v>
      </c>
      <c r="J8" s="15" t="n">
        <f aca="false">IF(AND(ISNUMBER(F8),ISNUMBER(G8)),ROUND(AVERAGE(B8,F8,G8),1),B8)</f>
        <v>83.3</v>
      </c>
      <c r="K8" s="15" t="n">
        <f aca="false">ROUND(C8,1)</f>
        <v>56.1</v>
      </c>
      <c r="L8" s="15" t="n">
        <f aca="false">IF(AND(ISNUMBER(H8),ISNUMBER(I8)),ROUND(AVERAGE(D8,H8,I8),2),D8)</f>
        <v>0.28</v>
      </c>
      <c r="M8" s="15" t="n">
        <f aca="false">ROUND(E8,1)</f>
        <v>0</v>
      </c>
    </row>
    <row r="9" customFormat="false" ht="15" hidden="false" customHeight="false" outlineLevel="0" collapsed="false">
      <c r="A9" s="3" t="n">
        <v>39</v>
      </c>
      <c r="B9" s="15" t="n">
        <v>73.7</v>
      </c>
      <c r="C9" s="15" t="n">
        <v>53.1</v>
      </c>
      <c r="D9" s="15" t="n">
        <v>0.65</v>
      </c>
      <c r="E9" s="15" t="n">
        <v>0</v>
      </c>
      <c r="F9" s="15" t="n">
        <f aca="false">IFERROR(INDEX('Weather (Historical)'!$E$2:$E$136,MATCH(1,('Weather (Historical)'!$A$2:$A$136=2024)*('Weather (Historical)'!$B$2:$B$136=39),0)),"")</f>
        <v>74.4</v>
      </c>
      <c r="G9" s="15" t="n">
        <f aca="false">IFERROR(INDEX('Weather (Historical)'!$E$2:$E$136,MATCH(1,('Weather (Historical)'!$A$2:$A$136=2025)*('Weather (Historical)'!$B$2:$B$136=39),0)),"")</f>
        <v>77.3</v>
      </c>
      <c r="H9" s="15" t="n">
        <f aca="false">IFERROR(INDEX('Weather (Historical)'!$G$2:$G$136,MATCH(1,('Weather (Historical)'!$A$2:$A$136=2024)*('Weather (Historical)'!$B$2:$B$136=39),0)),"")</f>
        <v>3.54</v>
      </c>
      <c r="I9" s="15" t="n">
        <f aca="false">IFERROR(INDEX('Weather (Historical)'!$G$2:$G$136,MATCH(1,('Weather (Historical)'!$A$2:$A$136=2025)*('Weather (Historical)'!$B$2:$B$136=39),0)),"")</f>
        <v>1.03</v>
      </c>
      <c r="J9" s="15" t="n">
        <f aca="false">IF(AND(ISNUMBER(F9),ISNUMBER(G9)),ROUND(AVERAGE(B9,F9,G9),1),B9)</f>
        <v>75.1</v>
      </c>
      <c r="K9" s="15" t="n">
        <f aca="false">ROUND(C9,1)</f>
        <v>53.1</v>
      </c>
      <c r="L9" s="15" t="n">
        <f aca="false">IF(AND(ISNUMBER(H9),ISNUMBER(I9)),ROUND(AVERAGE(D9,H9,I9),2),D9)</f>
        <v>1.74</v>
      </c>
      <c r="M9" s="15" t="n">
        <f aca="false">ROUND(E9,1)</f>
        <v>0</v>
      </c>
    </row>
    <row r="10" customFormat="false" ht="15" hidden="false" customHeight="false" outlineLevel="0" collapsed="false">
      <c r="A10" s="3" t="n">
        <v>40</v>
      </c>
      <c r="B10" s="15" t="n">
        <v>70.8</v>
      </c>
      <c r="C10" s="15" t="n">
        <v>50.2</v>
      </c>
      <c r="D10" s="15" t="n">
        <v>0.6</v>
      </c>
      <c r="E10" s="15" t="n">
        <v>0</v>
      </c>
      <c r="F10" s="15" t="n">
        <f aca="false">IFERROR(INDEX('Weather (Historical)'!$E$2:$E$136,MATCH(1,('Weather (Historical)'!$A$2:$A$136=2024)*('Weather (Historical)'!$B$2:$B$136=40),0)),"")</f>
        <v>74.6</v>
      </c>
      <c r="G10" s="15" t="n">
        <f aca="false">IFERROR(INDEX('Weather (Historical)'!$E$2:$E$136,MATCH(1,('Weather (Historical)'!$A$2:$A$136=2025)*('Weather (Historical)'!$B$2:$B$136=40),0)),"")</f>
        <v>79.4</v>
      </c>
      <c r="H10" s="15" t="n">
        <f aca="false">IFERROR(INDEX('Weather (Historical)'!$G$2:$G$136,MATCH(1,('Weather (Historical)'!$A$2:$A$136=2024)*('Weather (Historical)'!$B$2:$B$136=40),0)),"")</f>
        <v>0.24</v>
      </c>
      <c r="I10" s="15" t="n">
        <f aca="false">IFERROR(INDEX('Weather (Historical)'!$G$2:$G$136,MATCH(1,('Weather (Historical)'!$A$2:$A$136=2025)*('Weather (Historical)'!$B$2:$B$136=40),0)),"")</f>
        <v>0</v>
      </c>
      <c r="J10" s="15" t="n">
        <f aca="false">IF(AND(ISNUMBER(F10),ISNUMBER(G10)),ROUND(AVERAGE(B10,F10,G10),1),B10)</f>
        <v>74.9</v>
      </c>
      <c r="K10" s="15" t="n">
        <f aca="false">ROUND(C10,1)</f>
        <v>50.2</v>
      </c>
      <c r="L10" s="15" t="n">
        <f aca="false">IF(AND(ISNUMBER(H10),ISNUMBER(I10)),ROUND(AVERAGE(D10,H10,I10),2),D10)</f>
        <v>0.28</v>
      </c>
      <c r="M10" s="15" t="n">
        <f aca="false">ROUND(E10,1)</f>
        <v>0</v>
      </c>
    </row>
    <row r="11" customFormat="false" ht="15" hidden="false" customHeight="false" outlineLevel="0" collapsed="false">
      <c r="A11" s="3" t="n">
        <v>41</v>
      </c>
      <c r="B11" s="15" t="n">
        <v>68</v>
      </c>
      <c r="C11" s="15" t="n">
        <v>47.5</v>
      </c>
      <c r="D11" s="15" t="n">
        <v>0.62</v>
      </c>
      <c r="E11" s="15" t="n">
        <v>0</v>
      </c>
      <c r="F11" s="15" t="n">
        <f aca="false">IFERROR(INDEX('Weather (Historical)'!$E$2:$E$136,MATCH(1,('Weather (Historical)'!$A$2:$A$136=2024)*('Weather (Historical)'!$B$2:$B$136=41),0)),"")</f>
        <v>69.2</v>
      </c>
      <c r="G11" s="15" t="n">
        <f aca="false">IFERROR(INDEX('Weather (Historical)'!$E$2:$E$136,MATCH(1,('Weather (Historical)'!$A$2:$A$136=2025)*('Weather (Historical)'!$B$2:$B$136=41),0)),"")</f>
        <v>68.7</v>
      </c>
      <c r="H11" s="15" t="n">
        <f aca="false">IFERROR(INDEX('Weather (Historical)'!$G$2:$G$136,MATCH(1,('Weather (Historical)'!$A$2:$A$136=2024)*('Weather (Historical)'!$B$2:$B$136=41),0)),"")</f>
        <v>0.47</v>
      </c>
      <c r="I11" s="15" t="n">
        <f aca="false">IFERROR(INDEX('Weather (Historical)'!$G$2:$G$136,MATCH(1,('Weather (Historical)'!$A$2:$A$136=2025)*('Weather (Historical)'!$B$2:$B$136=41),0)),"")</f>
        <v>2.08</v>
      </c>
      <c r="J11" s="15" t="n">
        <f aca="false">IF(AND(ISNUMBER(F11),ISNUMBER(G11)),ROUND(AVERAGE(B11,F11,G11),1),B11)</f>
        <v>68.6</v>
      </c>
      <c r="K11" s="15" t="n">
        <f aca="false">ROUND(C11,1)</f>
        <v>47.5</v>
      </c>
      <c r="L11" s="15" t="n">
        <f aca="false">IF(AND(ISNUMBER(H11),ISNUMBER(I11)),ROUND(AVERAGE(D11,H11,I11),2),D11)</f>
        <v>1.06</v>
      </c>
      <c r="M11" s="15" t="n">
        <f aca="false">ROUND(E11,1)</f>
        <v>0</v>
      </c>
    </row>
    <row r="12" customFormat="false" ht="15" hidden="false" customHeight="false" outlineLevel="0" collapsed="false">
      <c r="A12" s="3" t="n">
        <v>42</v>
      </c>
      <c r="B12" s="15" t="n">
        <v>65.4</v>
      </c>
      <c r="C12" s="15" t="n">
        <v>45.1</v>
      </c>
      <c r="D12" s="15" t="n">
        <v>0.57</v>
      </c>
      <c r="E12" s="15" t="n">
        <v>0</v>
      </c>
      <c r="F12" s="15" t="n">
        <f aca="false">IFERROR(INDEX('Weather (Historical)'!$E$2:$E$136,MATCH(1,('Weather (Historical)'!$A$2:$A$136=2024)*('Weather (Historical)'!$B$2:$B$136=42),0)),"")</f>
        <v>59.8</v>
      </c>
      <c r="G12" s="15" t="n">
        <f aca="false">IFERROR(INDEX('Weather (Historical)'!$E$2:$E$136,MATCH(1,('Weather (Historical)'!$A$2:$A$136=2025)*('Weather (Historical)'!$B$2:$B$136=42),0)),"")</f>
        <v>69.5</v>
      </c>
      <c r="H12" s="15" t="n">
        <f aca="false">IFERROR(INDEX('Weather (Historical)'!$G$2:$G$136,MATCH(1,('Weather (Historical)'!$A$2:$A$136=2024)*('Weather (Historical)'!$B$2:$B$136=42),0)),"")</f>
        <v>0.16</v>
      </c>
      <c r="I12" s="15" t="n">
        <f aca="false">IFERROR(INDEX('Weather (Historical)'!$G$2:$G$136,MATCH(1,('Weather (Historical)'!$A$2:$A$136=2025)*('Weather (Historical)'!$B$2:$B$136=42),0)),"")</f>
        <v>1.3</v>
      </c>
      <c r="J12" s="15" t="n">
        <f aca="false">IF(AND(ISNUMBER(F12),ISNUMBER(G12)),ROUND(AVERAGE(B12,F12,G12),1),B12)</f>
        <v>64.9</v>
      </c>
      <c r="K12" s="15" t="n">
        <f aca="false">ROUND(C12,1)</f>
        <v>45.1</v>
      </c>
      <c r="L12" s="15" t="n">
        <f aca="false">IF(AND(ISNUMBER(H12),ISNUMBER(I12)),ROUND(AVERAGE(D12,H12,I12),2),D12)</f>
        <v>0.68</v>
      </c>
      <c r="M12" s="15" t="n">
        <f aca="false">ROUND(E12,1)</f>
        <v>0</v>
      </c>
    </row>
    <row r="13" customFormat="false" ht="15" hidden="false" customHeight="false" outlineLevel="0" collapsed="false">
      <c r="A13" s="3" t="n">
        <v>43</v>
      </c>
      <c r="B13" s="15" t="n">
        <v>62.9</v>
      </c>
      <c r="C13" s="15" t="n">
        <v>43</v>
      </c>
      <c r="D13" s="15" t="n">
        <v>0.55</v>
      </c>
      <c r="E13" s="15" t="n">
        <v>0.1</v>
      </c>
      <c r="F13" s="15" t="n">
        <f aca="false">IFERROR(INDEX('Weather (Historical)'!$E$2:$E$136,MATCH(1,('Weather (Historical)'!$A$2:$A$136=2024)*('Weather (Historical)'!$B$2:$B$136=43),0)),"")</f>
        <v>67</v>
      </c>
      <c r="G13" s="15" t="n">
        <f aca="false">IFERROR(INDEX('Weather (Historical)'!$E$2:$E$136,MATCH(1,('Weather (Historical)'!$A$2:$A$136=2025)*('Weather (Historical)'!$B$2:$B$136=43),0)),"")</f>
        <v>56</v>
      </c>
      <c r="H13" s="15" t="n">
        <f aca="false">IFERROR(INDEX('Weather (Historical)'!$G$2:$G$136,MATCH(1,('Weather (Historical)'!$A$2:$A$136=2024)*('Weather (Historical)'!$B$2:$B$136=43),0)),"")</f>
        <v>0</v>
      </c>
      <c r="I13" s="15" t="n">
        <f aca="false">IFERROR(INDEX('Weather (Historical)'!$G$2:$G$136,MATCH(1,('Weather (Historical)'!$A$2:$A$136=2025)*('Weather (Historical)'!$B$2:$B$136=43),0)),"")</f>
        <v>0.14</v>
      </c>
      <c r="J13" s="15" t="n">
        <f aca="false">IF(AND(ISNUMBER(F13),ISNUMBER(G13)),ROUND(AVERAGE(B13,F13,G13),1),B13)</f>
        <v>62</v>
      </c>
      <c r="K13" s="15" t="n">
        <f aca="false">ROUND(C13,1)</f>
        <v>43</v>
      </c>
      <c r="L13" s="15" t="n">
        <f aca="false">IF(AND(ISNUMBER(H13),ISNUMBER(I13)),ROUND(AVERAGE(D13,H13,I13),2),D13)</f>
        <v>0.23</v>
      </c>
      <c r="M13" s="15" t="n">
        <f aca="false">ROUND(E13,1)</f>
        <v>0.1</v>
      </c>
    </row>
    <row r="14" customFormat="false" ht="15" hidden="false" customHeight="false" outlineLevel="0" collapsed="false">
      <c r="A14" s="3" t="n">
        <v>44</v>
      </c>
      <c r="B14" s="15" t="n">
        <v>60.4</v>
      </c>
      <c r="C14" s="15" t="n">
        <v>41.2</v>
      </c>
      <c r="D14" s="15" t="n">
        <v>0.64</v>
      </c>
      <c r="E14" s="15" t="n">
        <v>0.1</v>
      </c>
      <c r="F14" s="15" t="n">
        <f aca="false">IFERROR(INDEX('Weather (Historical)'!$E$2:$E$136,MATCH(1,('Weather (Historical)'!$A$2:$A$136=2024)*('Weather (Historical)'!$B$2:$B$136=44),0)),"")</f>
        <v>68.5</v>
      </c>
      <c r="G14" s="15" t="n">
        <f aca="false">IFERROR(INDEX('Weather (Historical)'!$E$2:$E$136,MATCH(1,('Weather (Historical)'!$A$2:$A$136=2025)*('Weather (Historical)'!$B$2:$B$136=44),0)),"")</f>
        <v>54.2</v>
      </c>
      <c r="H14" s="15" t="n">
        <f aca="false">IFERROR(INDEX('Weather (Historical)'!$G$2:$G$136,MATCH(1,('Weather (Historical)'!$A$2:$A$136=2024)*('Weather (Historical)'!$B$2:$B$136=44),0)),"")</f>
        <v>0.09</v>
      </c>
      <c r="I14" s="15" t="n">
        <f aca="false">IFERROR(INDEX('Weather (Historical)'!$G$2:$G$136,MATCH(1,('Weather (Historical)'!$A$2:$A$136=2025)*('Weather (Historical)'!$B$2:$B$136=44),0)),"")</f>
        <v>0.91</v>
      </c>
      <c r="J14" s="15" t="n">
        <f aca="false">IF(AND(ISNUMBER(F14),ISNUMBER(G14)),ROUND(AVERAGE(B14,F14,G14),1),B14)</f>
        <v>61</v>
      </c>
      <c r="K14" s="15" t="n">
        <f aca="false">ROUND(C14,1)</f>
        <v>41.2</v>
      </c>
      <c r="L14" s="15" t="n">
        <f aca="false">IF(AND(ISNUMBER(H14),ISNUMBER(I14)),ROUND(AVERAGE(D14,H14,I14),2),D14)</f>
        <v>0.55</v>
      </c>
      <c r="M14" s="15" t="n">
        <f aca="false">ROUND(E14,1)</f>
        <v>0.1</v>
      </c>
    </row>
    <row r="15" customFormat="false" ht="15" hidden="false" customHeight="false" outlineLevel="0" collapsed="false">
      <c r="A15" s="3" t="n">
        <v>45</v>
      </c>
      <c r="B15" s="15" t="n">
        <v>57.5</v>
      </c>
      <c r="C15" s="15" t="n">
        <v>39.3</v>
      </c>
      <c r="D15" s="15" t="n">
        <v>0.7</v>
      </c>
      <c r="E15" s="15" t="n">
        <v>0.1</v>
      </c>
      <c r="F15" s="15" t="n">
        <f aca="false">IFERROR(INDEX('Weather (Historical)'!$E$2:$E$136,MATCH(1,('Weather (Historical)'!$A$2:$A$136=2024)*('Weather (Historical)'!$B$2:$B$136=45),0)),"")</f>
        <v>66.2</v>
      </c>
      <c r="G15" s="15" t="n">
        <f aca="false">IFERROR(INDEX('Weather (Historical)'!$E$2:$E$136,MATCH(1,('Weather (Historical)'!$A$2:$A$136=2025)*('Weather (Historical)'!$B$2:$B$136=45),0)),"")</f>
        <v>57.3</v>
      </c>
      <c r="H15" s="15" t="n">
        <f aca="false">IFERROR(INDEX('Weather (Historical)'!$G$2:$G$136,MATCH(1,('Weather (Historical)'!$A$2:$A$136=2024)*('Weather (Historical)'!$B$2:$B$136=45),0)),"")</f>
        <v>1.25</v>
      </c>
      <c r="I15" s="15" t="n">
        <f aca="false">IFERROR(INDEX('Weather (Historical)'!$G$2:$G$136,MATCH(1,('Weather (Historical)'!$A$2:$A$136=2025)*('Weather (Historical)'!$B$2:$B$136=45),0)),"")</f>
        <v>0.85</v>
      </c>
      <c r="J15" s="15" t="n">
        <f aca="false">IF(AND(ISNUMBER(F15),ISNUMBER(G15)),ROUND(AVERAGE(B15,F15,G15),1),B15)</f>
        <v>60.3</v>
      </c>
      <c r="K15" s="15" t="n">
        <f aca="false">ROUND(C15,1)</f>
        <v>39.3</v>
      </c>
      <c r="L15" s="15" t="n">
        <f aca="false">IF(AND(ISNUMBER(H15),ISNUMBER(I15)),ROUND(AVERAGE(D15,H15,I15),2),D15)</f>
        <v>0.93</v>
      </c>
      <c r="M15" s="15" t="n">
        <f aca="false">ROUND(E15,1)</f>
        <v>0.1</v>
      </c>
    </row>
    <row r="16" customFormat="false" ht="15" hidden="false" customHeight="false" outlineLevel="0" collapsed="false">
      <c r="A16" s="3" t="n">
        <v>46</v>
      </c>
      <c r="B16" s="15" t="n">
        <v>54.4</v>
      </c>
      <c r="C16" s="15" t="n">
        <v>37.3</v>
      </c>
      <c r="D16" s="15" t="n">
        <v>0.73</v>
      </c>
      <c r="E16" s="15" t="n">
        <v>0.2</v>
      </c>
      <c r="F16" s="15" t="n">
        <f aca="false">IFERROR(INDEX('Weather (Historical)'!$E$2:$E$136,MATCH(1,('Weather (Historical)'!$A$2:$A$136=2024)*('Weather (Historical)'!$B$2:$B$136=46),0)),"")</f>
        <v>55</v>
      </c>
      <c r="G16" s="15" t="n">
        <f aca="false">IFERROR(INDEX('Weather (Historical)'!$E$2:$E$136,MATCH(1,('Weather (Historical)'!$A$2:$A$136=2025)*('Weather (Historical)'!$B$2:$B$136=46),0)),"")</f>
        <v>50.7</v>
      </c>
      <c r="H16" s="15" t="n">
        <f aca="false">IFERROR(INDEX('Weather (Historical)'!$G$2:$G$136,MATCH(1,('Weather (Historical)'!$A$2:$A$136=2024)*('Weather (Historical)'!$B$2:$B$136=46),0)),"")</f>
        <v>1</v>
      </c>
      <c r="I16" s="15" t="n">
        <f aca="false">IFERROR(INDEX('Weather (Historical)'!$G$2:$G$136,MATCH(1,('Weather (Historical)'!$A$2:$A$136=2025)*('Weather (Historical)'!$B$2:$B$136=46),0)),"")</f>
        <v>0.28</v>
      </c>
      <c r="J16" s="15" t="n">
        <f aca="false">IF(AND(ISNUMBER(F16),ISNUMBER(G16)),ROUND(AVERAGE(B16,F16,G16),1),B16)</f>
        <v>53.4</v>
      </c>
      <c r="K16" s="15" t="n">
        <f aca="false">ROUND(C16,1)</f>
        <v>37.3</v>
      </c>
      <c r="L16" s="15" t="n">
        <f aca="false">IF(AND(ISNUMBER(H16),ISNUMBER(I16)),ROUND(AVERAGE(D16,H16,I16),2),D16)</f>
        <v>0.67</v>
      </c>
      <c r="M16" s="15" t="n">
        <f aca="false">ROUND(E16,1)</f>
        <v>0.2</v>
      </c>
    </row>
    <row r="17" customFormat="false" ht="15" hidden="false" customHeight="false" outlineLevel="0" collapsed="false">
      <c r="A17" s="3" t="n">
        <v>47</v>
      </c>
      <c r="B17" s="15" t="n">
        <v>51</v>
      </c>
      <c r="C17" s="15" t="n">
        <v>35.1</v>
      </c>
      <c r="D17" s="15" t="n">
        <v>0.8</v>
      </c>
      <c r="E17" s="15" t="n">
        <v>0.2</v>
      </c>
      <c r="F17" s="15" t="n">
        <f aca="false">IFERROR(INDEX('Weather (Historical)'!$E$2:$E$136,MATCH(1,('Weather (Historical)'!$A$2:$A$136=2024)*('Weather (Historical)'!$B$2:$B$136=47),0)),"")</f>
        <v>52.1</v>
      </c>
      <c r="G17" s="15" t="n">
        <f aca="false">IFERROR(INDEX('Weather (Historical)'!$E$2:$E$136,MATCH(1,('Weather (Historical)'!$A$2:$A$136=2025)*('Weather (Historical)'!$B$2:$B$136=47),0)),"")</f>
        <v>47.9</v>
      </c>
      <c r="H17" s="15" t="n">
        <f aca="false">IFERROR(INDEX('Weather (Historical)'!$G$2:$G$136,MATCH(1,('Weather (Historical)'!$A$2:$A$136=2024)*('Weather (Historical)'!$B$2:$B$136=47),0)),"")</f>
        <v>0.37</v>
      </c>
      <c r="I17" s="15" t="n">
        <f aca="false">IFERROR(INDEX('Weather (Historical)'!$G$2:$G$136,MATCH(1,('Weather (Historical)'!$A$2:$A$136=2025)*('Weather (Historical)'!$B$2:$B$136=47),0)),"")</f>
        <v>0.65</v>
      </c>
      <c r="J17" s="15" t="n">
        <f aca="false">IF(AND(ISNUMBER(F17),ISNUMBER(G17)),ROUND(AVERAGE(B17,F17,G17),1),B17)</f>
        <v>50.3</v>
      </c>
      <c r="K17" s="15" t="n">
        <f aca="false">ROUND(C17,1)</f>
        <v>35.1</v>
      </c>
      <c r="L17" s="15" t="n">
        <f aca="false">IF(AND(ISNUMBER(H17),ISNUMBER(I17)),ROUND(AVERAGE(D17,H17,I17),2),D17)</f>
        <v>0.61</v>
      </c>
      <c r="M17" s="15" t="n">
        <f aca="false">ROUND(E17,1)</f>
        <v>0.2</v>
      </c>
    </row>
    <row r="18" customFormat="false" ht="15" hidden="false" customHeight="false" outlineLevel="0" collapsed="false">
      <c r="A18" s="3" t="n">
        <v>48</v>
      </c>
      <c r="B18" s="15" t="n">
        <v>47.5</v>
      </c>
      <c r="C18" s="15" t="n">
        <v>32.8</v>
      </c>
      <c r="D18" s="15" t="n">
        <v>0.76</v>
      </c>
      <c r="E18" s="15" t="n">
        <v>0.3</v>
      </c>
      <c r="F18" s="15" t="n">
        <f aca="false">IFERROR(INDEX('Weather (Historical)'!$E$2:$E$136,MATCH(1,('Weather (Historical)'!$A$2:$A$136=2024)*('Weather (Historical)'!$B$2:$B$136=48),0)),"")</f>
        <v>42.7</v>
      </c>
      <c r="G18" s="15" t="n">
        <f aca="false">IFERROR(INDEX('Weather (Historical)'!$E$2:$E$136,MATCH(1,('Weather (Historical)'!$A$2:$A$136=2025)*('Weather (Historical)'!$B$2:$B$136=48),0)),"")</f>
        <v>43.7</v>
      </c>
      <c r="H18" s="15" t="n">
        <f aca="false">IFERROR(INDEX('Weather (Historical)'!$G$2:$G$136,MATCH(1,('Weather (Historical)'!$A$2:$A$136=2024)*('Weather (Historical)'!$B$2:$B$136=48),0)),"")</f>
        <v>0.95</v>
      </c>
      <c r="I18" s="15" t="n">
        <f aca="false">IFERROR(INDEX('Weather (Historical)'!$G$2:$G$136,MATCH(1,('Weather (Historical)'!$A$2:$A$136=2025)*('Weather (Historical)'!$B$2:$B$136=48),0)),"")</f>
        <v>0.81</v>
      </c>
      <c r="J18" s="15" t="n">
        <f aca="false">IF(AND(ISNUMBER(F18),ISNUMBER(G18)),ROUND(AVERAGE(B18,F18,G18),1),B18)</f>
        <v>44.6</v>
      </c>
      <c r="K18" s="15" t="n">
        <f aca="false">ROUND(C18,1)</f>
        <v>32.8</v>
      </c>
      <c r="L18" s="15" t="n">
        <f aca="false">IF(AND(ISNUMBER(H18),ISNUMBER(I18)),ROUND(AVERAGE(D18,H18,I18),2),D18)</f>
        <v>0.84</v>
      </c>
      <c r="M18" s="15" t="n">
        <f aca="false">ROUND(E18,1)</f>
        <v>0.3</v>
      </c>
    </row>
    <row r="19" customFormat="false" ht="15" hidden="false" customHeight="false" outlineLevel="0" collapsed="false">
      <c r="A19" s="3" t="n">
        <v>49</v>
      </c>
      <c r="B19" s="15" t="n">
        <v>44.3</v>
      </c>
      <c r="C19" s="15" t="n">
        <v>30.4</v>
      </c>
      <c r="D19" s="15" t="n">
        <v>0.68</v>
      </c>
      <c r="E19" s="15" t="n">
        <v>0.7</v>
      </c>
      <c r="F19" s="15" t="n">
        <f aca="false">IFERROR(INDEX('Weather (Historical)'!$E$2:$E$136,MATCH(1,('Weather (Historical)'!$A$2:$A$136=2024)*('Weather (Historical)'!$B$2:$B$136=49),0)),"")</f>
        <v>38.5</v>
      </c>
      <c r="G19" s="15" t="n">
        <f aca="false">IFERROR(INDEX('Weather (Historical)'!$E$2:$E$136,MATCH(1,('Weather (Historical)'!$A$2:$A$136=2025)*('Weather (Historical)'!$B$2:$B$136=49),0)),"")</f>
        <v>30.9</v>
      </c>
      <c r="H19" s="15" t="n">
        <f aca="false">IFERROR(INDEX('Weather (Historical)'!$G$2:$G$136,MATCH(1,('Weather (Historical)'!$A$2:$A$136=2024)*('Weather (Historical)'!$B$2:$B$136=49),0)),"")</f>
        <v>0.1</v>
      </c>
      <c r="I19" s="15" t="n">
        <f aca="false">IFERROR(INDEX('Weather (Historical)'!$G$2:$G$136,MATCH(1,('Weather (Historical)'!$A$2:$A$136=2025)*('Weather (Historical)'!$B$2:$B$136=49),0)),"")</f>
        <v>0.34</v>
      </c>
      <c r="J19" s="15" t="n">
        <f aca="false">IF(AND(ISNUMBER(F19),ISNUMBER(G19)),ROUND(AVERAGE(B19,F19,G19),1),B19)</f>
        <v>37.9</v>
      </c>
      <c r="K19" s="15" t="n">
        <f aca="false">ROUND(C19,1)</f>
        <v>30.4</v>
      </c>
      <c r="L19" s="15" t="n">
        <f aca="false">IF(AND(ISNUMBER(H19),ISNUMBER(I19)),ROUND(AVERAGE(D19,H19,I19),2),D19)</f>
        <v>0.37</v>
      </c>
      <c r="M19" s="15" t="n">
        <f aca="false">ROUND(E19,1)</f>
        <v>0.7</v>
      </c>
    </row>
    <row r="20" customFormat="false" ht="15" hidden="false" customHeight="false" outlineLevel="0" collapsed="false">
      <c r="A20" s="3" t="n">
        <v>50</v>
      </c>
      <c r="B20" s="15" t="n">
        <v>41.5</v>
      </c>
      <c r="C20" s="15" t="n">
        <v>28.2</v>
      </c>
      <c r="D20" s="15" t="n">
        <v>0.7</v>
      </c>
      <c r="E20" s="15" t="n">
        <v>1</v>
      </c>
      <c r="F20" s="15" t="n">
        <f aca="false">IFERROR(INDEX('Weather (Historical)'!$E$2:$E$136,MATCH(1,('Weather (Historical)'!$A$2:$A$136=2024)*('Weather (Historical)'!$B$2:$B$136=50),0)),"")</f>
        <v>41.9</v>
      </c>
      <c r="G20" s="15" t="n">
        <f aca="false">IFERROR(INDEX('Weather (Historical)'!$E$2:$E$136,MATCH(1,('Weather (Historical)'!$A$2:$A$136=2025)*('Weather (Historical)'!$B$2:$B$136=50),0)),"")</f>
        <v>32.8</v>
      </c>
      <c r="H20" s="15" t="n">
        <f aca="false">IFERROR(INDEX('Weather (Historical)'!$G$2:$G$136,MATCH(1,('Weather (Historical)'!$A$2:$A$136=2024)*('Weather (Historical)'!$B$2:$B$136=50),0)),"")</f>
        <v>1.2</v>
      </c>
      <c r="I20" s="15" t="n">
        <f aca="false">IFERROR(INDEX('Weather (Historical)'!$G$2:$G$136,MATCH(1,('Weather (Historical)'!$A$2:$A$136=2025)*('Weather (Historical)'!$B$2:$B$136=50),0)),"")</f>
        <v>0.61</v>
      </c>
      <c r="J20" s="15" t="n">
        <f aca="false">IF(AND(ISNUMBER(F20),ISNUMBER(G20)),ROUND(AVERAGE(B20,F20,G20),1),B20)</f>
        <v>38.7</v>
      </c>
      <c r="K20" s="15" t="n">
        <f aca="false">ROUND(C20,1)</f>
        <v>28.2</v>
      </c>
      <c r="L20" s="15" t="n">
        <f aca="false">IF(AND(ISNUMBER(H20),ISNUMBER(I20)),ROUND(AVERAGE(D20,H20,I20),2),D20)</f>
        <v>0.84</v>
      </c>
      <c r="M20" s="15" t="n">
        <f aca="false">ROUND(E20,1)</f>
        <v>1</v>
      </c>
    </row>
    <row r="21" customFormat="false" ht="15" hidden="false" customHeight="false" outlineLevel="0" collapsed="false">
      <c r="A21" s="3" t="n">
        <v>51</v>
      </c>
      <c r="B21" s="15" t="n">
        <v>39.4</v>
      </c>
      <c r="C21" s="15" t="n">
        <v>26.3</v>
      </c>
      <c r="D21" s="15" t="n">
        <v>0.63</v>
      </c>
      <c r="E21" s="15" t="n">
        <v>1.1</v>
      </c>
      <c r="F21" s="15" t="n">
        <f aca="false">IFERROR(INDEX('Weather (Historical)'!$E$2:$E$136,MATCH(1,('Weather (Historical)'!$A$2:$A$136=2024)*('Weather (Historical)'!$B$2:$B$136=51),0)),"")</f>
        <v>41.3</v>
      </c>
      <c r="G21" s="15" t="n">
        <f aca="false">IFERROR(INDEX('Weather (Historical)'!$E$2:$E$136,MATCH(1,('Weather (Historical)'!$A$2:$A$136=2025)*('Weather (Historical)'!$B$2:$B$136=51),0)),"")</f>
        <v>40.7</v>
      </c>
      <c r="H21" s="15" t="n">
        <f aca="false">IFERROR(INDEX('Weather (Historical)'!$G$2:$G$136,MATCH(1,('Weather (Historical)'!$A$2:$A$136=2024)*('Weather (Historical)'!$B$2:$B$136=51),0)),"")</f>
        <v>0.96</v>
      </c>
      <c r="I21" s="15" t="n">
        <f aca="false">IFERROR(INDEX('Weather (Historical)'!$G$2:$G$136,MATCH(1,('Weather (Historical)'!$A$2:$A$136=2025)*('Weather (Historical)'!$B$2:$B$136=51),0)),"")</f>
        <v>1.07</v>
      </c>
      <c r="J21" s="15" t="n">
        <f aca="false">IF(AND(ISNUMBER(F21),ISNUMBER(G21)),ROUND(AVERAGE(B21,F21,G21),1),B21)</f>
        <v>40.5</v>
      </c>
      <c r="K21" s="15" t="n">
        <f aca="false">ROUND(C21,1)</f>
        <v>26.3</v>
      </c>
      <c r="L21" s="15" t="n">
        <f aca="false">IF(AND(ISNUMBER(H21),ISNUMBER(I21)),ROUND(AVERAGE(D21,H21,I21),2),D21)</f>
        <v>0.89</v>
      </c>
      <c r="M21" s="15" t="n">
        <f aca="false">ROUND(E21,1)</f>
        <v>1.1</v>
      </c>
    </row>
    <row r="22" customFormat="false" ht="15" hidden="false" customHeight="false" outlineLevel="0" collapsed="false">
      <c r="A22" s="3" t="n">
        <v>52</v>
      </c>
      <c r="B22" s="15" t="n">
        <v>37.8</v>
      </c>
      <c r="C22" s="15" t="n">
        <v>24.7</v>
      </c>
      <c r="D22" s="15" t="n">
        <v>0.68</v>
      </c>
      <c r="E22" s="15" t="n">
        <v>1.4</v>
      </c>
      <c r="F22" s="15" t="n">
        <f aca="false">IFERROR(INDEX('Weather (Historical)'!$E$2:$E$136,MATCH(1,('Weather (Historical)'!$A$2:$A$136=2024)*('Weather (Historical)'!$B$2:$B$136=52),0)),"")</f>
        <v>50</v>
      </c>
      <c r="G22" s="15" t="n">
        <f aca="false">IFERROR(INDEX('Weather (Historical)'!$E$2:$E$136,MATCH(1,('Weather (Historical)'!$A$2:$A$136=2025)*('Weather (Historical)'!$B$2:$B$136=52),0)),"")</f>
        <v>51.2</v>
      </c>
      <c r="H22" s="15" t="n">
        <f aca="false">IFERROR(INDEX('Weather (Historical)'!$G$2:$G$136,MATCH(1,('Weather (Historical)'!$A$2:$A$136=2024)*('Weather (Historical)'!$B$2:$B$136=52),0)),"")</f>
        <v>0.97</v>
      </c>
      <c r="I22" s="15" t="n">
        <f aca="false">IFERROR(INDEX('Weather (Historical)'!$G$2:$G$136,MATCH(1,('Weather (Historical)'!$A$2:$A$136=2025)*('Weather (Historical)'!$B$2:$B$136=52),0)),"")</f>
        <v>0.54</v>
      </c>
      <c r="J22" s="15" t="n">
        <f aca="false">IF(AND(ISNUMBER(F22),ISNUMBER(G22)),ROUND(AVERAGE(B22,F22,G22),1),B22)</f>
        <v>46.3</v>
      </c>
      <c r="K22" s="15" t="n">
        <f aca="false">ROUND(C22,1)</f>
        <v>24.7</v>
      </c>
      <c r="L22" s="15" t="n">
        <f aca="false">IF(AND(ISNUMBER(H22),ISNUMBER(I22)),ROUND(AVERAGE(D22,H22,I22),2),D22)</f>
        <v>0.73</v>
      </c>
      <c r="M22" s="15" t="n">
        <f aca="false">ROUND(E22,1)</f>
        <v>1.4</v>
      </c>
    </row>
    <row r="23" customFormat="false" ht="15" hidden="false" customHeight="false" outlineLevel="0" collapsed="false">
      <c r="A23" s="3" t="n">
        <v>53</v>
      </c>
      <c r="B23" s="15" t="n">
        <v>37</v>
      </c>
      <c r="C23" s="15" t="n">
        <v>23.8</v>
      </c>
      <c r="D23" s="15" t="n">
        <v>0.38</v>
      </c>
      <c r="E23" s="15" t="n">
        <v>0.9</v>
      </c>
      <c r="F23" s="15" t="str">
        <f aca="false">IFERROR(INDEX('Weather (Historical)'!$E$2:$E$136,MATCH(1,('Weather (Historical)'!$A$2:$A$136=2024)*('Weather (Historical)'!$B$2:$B$136=53),0)),"")</f>
        <v/>
      </c>
      <c r="G23" s="15" t="str">
        <f aca="false">IFERROR(INDEX('Weather (Historical)'!$E$2:$E$136,MATCH(1,('Weather (Historical)'!$A$2:$A$136=2025)*('Weather (Historical)'!$B$2:$B$136=53),0)),"")</f>
        <v/>
      </c>
      <c r="H23" s="15" t="str">
        <f aca="false">IFERROR(INDEX('Weather (Historical)'!$G$2:$G$136,MATCH(1,('Weather (Historical)'!$A$2:$A$136=2024)*('Weather (Historical)'!$B$2:$B$136=53),0)),"")</f>
        <v/>
      </c>
      <c r="I23" s="15" t="str">
        <f aca="false">IFERROR(INDEX('Weather (Historical)'!$G$2:$G$136,MATCH(1,('Weather (Historical)'!$A$2:$A$136=2025)*('Weather (Historical)'!$B$2:$B$136=53),0)),"")</f>
        <v/>
      </c>
      <c r="J23" s="15" t="n">
        <f aca="false">IF(AND(ISNUMBER(F23),ISNUMBER(G23)),ROUND(AVERAGE(B23,F23,G23),1),B23)</f>
        <v>37</v>
      </c>
      <c r="K23" s="15" t="n">
        <f aca="false">ROUND(C23,1)</f>
        <v>23.8</v>
      </c>
      <c r="L23" s="15" t="n">
        <f aca="false">IF(AND(ISNUMBER(H23),ISNUMBER(I23)),ROUND(AVERAGE(D23,H23,I23),2),D23)</f>
        <v>0.38</v>
      </c>
      <c r="M23" s="15" t="n">
        <f aca="false">ROUND(E23,1)</f>
        <v>0.9</v>
      </c>
    </row>
    <row r="25" customFormat="false" ht="75" hidden="false" customHeight="true" outlineLevel="0" collapsed="false">
      <c r="A25" s="11" t="s">
        <v>493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mergeCells count="1">
    <mergeCell ref="A25:M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2026-07-29T02:37:55Z</dcterms:created>
  <dc:creator>openpyxl</dc:creator>
  <dc:description/>
  <dc:language>en-US</dc:language>
  <cp:lastModifiedBy/>
  <dcterms:modified xsi:type="dcterms:W3CDTF">2026-07-29T02:37:55Z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